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95" yWindow="65476" windowWidth="7680" windowHeight="8205" tabRatio="599" firstSheet="3" activeTab="3"/>
  </bookViews>
  <sheets>
    <sheet name="Hoja1" sheetId="1" r:id="rId1"/>
    <sheet name="GASTO CORRIENTE " sheetId="2" r:id="rId2"/>
    <sheet name="RESULTADOS " sheetId="3" r:id="rId3"/>
    <sheet name="BALANCE " sheetId="4" r:id="rId4"/>
    <sheet name="ORIGEN Y APLIC. NUEVA MES" sheetId="5" r:id="rId5"/>
    <sheet name="ORIGEN Y APLIC. NUEVA ACUM" sheetId="6" r:id="rId6"/>
    <sheet name="Hoja2" sheetId="7" r:id="rId7"/>
  </sheets>
  <definedNames>
    <definedName name="_xlnm.Print_Area" localSheetId="1">'GASTO CORRIENTE '!$T$1:$Z$87</definedName>
    <definedName name="_xlnm.Print_Area" localSheetId="5">'ORIGEN Y APLIC. NUEVA ACUM'!$A$1:$G$90</definedName>
  </definedNames>
  <calcPr fullCalcOnLoad="1"/>
</workbook>
</file>

<file path=xl/sharedStrings.xml><?xml version="1.0" encoding="utf-8"?>
<sst xmlns="http://schemas.openxmlformats.org/spreadsheetml/2006/main" count="800" uniqueCount="302">
  <si>
    <t>VARIACION</t>
  </si>
  <si>
    <t>PLAN</t>
  </si>
  <si>
    <t>Sueldos personal permanente</t>
  </si>
  <si>
    <t>Gratificados</t>
  </si>
  <si>
    <t>Aguinaldos</t>
  </si>
  <si>
    <t>Cuotas a pensiones</t>
  </si>
  <si>
    <t>Cuotas para la vivienda</t>
  </si>
  <si>
    <t>Cuotas para el seguro de vida del personal</t>
  </si>
  <si>
    <t>Ayuda para pasajes</t>
  </si>
  <si>
    <t>SERVICIOS PERSONALES</t>
  </si>
  <si>
    <t>Material de oficina</t>
  </si>
  <si>
    <t>Material de limpieza</t>
  </si>
  <si>
    <t>Alimentos para servidores públicos estatales</t>
  </si>
  <si>
    <t>Refacciones, accesorios y herramientas menores</t>
  </si>
  <si>
    <t>Combustibles</t>
  </si>
  <si>
    <t>MATERIALES Y SUMINISTROS</t>
  </si>
  <si>
    <t>Servicio de energía eléctrica</t>
  </si>
  <si>
    <t>Seguros</t>
  </si>
  <si>
    <t>Otros impuestos y derechos</t>
  </si>
  <si>
    <t>Servicio de telecomunicaciones</t>
  </si>
  <si>
    <t>Pasajes</t>
  </si>
  <si>
    <t>Viáticos</t>
  </si>
  <si>
    <t>SERVICIOS GENERALES</t>
  </si>
  <si>
    <t>TOTAL</t>
  </si>
  <si>
    <t>ESTADO DE RESULTADOS</t>
  </si>
  <si>
    <t>CONCEPTO</t>
  </si>
  <si>
    <t>Actividades Ordinarias</t>
  </si>
  <si>
    <t>ACUMULADO</t>
  </si>
  <si>
    <t>ESTADO DE SITUACION FINANCIERA</t>
  </si>
  <si>
    <t>ENERO</t>
  </si>
  <si>
    <t>DICIEMBRE</t>
  </si>
  <si>
    <t>BANCOS CTA. DE CHEQUES</t>
  </si>
  <si>
    <t>INVERSIONES</t>
  </si>
  <si>
    <t>FONDO FIJO DE CAJA</t>
  </si>
  <si>
    <t>DEUDORES DIVERSOS</t>
  </si>
  <si>
    <t>FUNCIONARIOS Y EMPLEADOS</t>
  </si>
  <si>
    <t>MOBILIARIO Y EQUIPO DE OFICINA</t>
  </si>
  <si>
    <t>EQUIPO DE TRANSPORTE</t>
  </si>
  <si>
    <t>EQUIPO DE COMUNICACIÓN</t>
  </si>
  <si>
    <t>EQUIPO DE AUDIO Y VIDEO</t>
  </si>
  <si>
    <t>MEJORAS A LOCALES ARRENDADOS</t>
  </si>
  <si>
    <t>ACREEDORES DIVERSOS</t>
  </si>
  <si>
    <t>IMPUESTOS POR PAGAR</t>
  </si>
  <si>
    <t>CUENTAS POR PAGAR</t>
  </si>
  <si>
    <t>PATRIMONIO</t>
  </si>
  <si>
    <t>FEBRERO</t>
  </si>
  <si>
    <t>MARZO</t>
  </si>
  <si>
    <t>PARTIDA</t>
  </si>
  <si>
    <t>ASIGNACION PRESUPUESTAL-ADQ. ACTIVOS</t>
  </si>
  <si>
    <t>Productos Financieros</t>
  </si>
  <si>
    <t>ABRIL</t>
  </si>
  <si>
    <t>MAYO</t>
  </si>
  <si>
    <t>MES</t>
  </si>
  <si>
    <t>JUNIO</t>
  </si>
  <si>
    <t>JULIO</t>
  </si>
  <si>
    <t>Servicio de agua potable</t>
  </si>
  <si>
    <t>RESULTADOS DE EJERCICIOS ANTERIORES</t>
  </si>
  <si>
    <t>EQUIPO DE CÓMPUTO</t>
  </si>
  <si>
    <t>PROGRAMAS DE CÓMPUTO</t>
  </si>
  <si>
    <t>Depreciación Acumulada</t>
  </si>
  <si>
    <t>Amortización Acumulada a Locales Arrendados</t>
  </si>
  <si>
    <t>GASTOS DE INSTALACIÓN</t>
  </si>
  <si>
    <t>Amortización acumulada Gastos de Instalación</t>
  </si>
  <si>
    <t>ANTICIPO A PROVEEDORES</t>
  </si>
  <si>
    <t>PAGOS ANTICIPADOS</t>
  </si>
  <si>
    <t>AGOSTO</t>
  </si>
  <si>
    <t>R     E     A     L</t>
  </si>
  <si>
    <t>Sanciones</t>
  </si>
  <si>
    <t>Actividades Específicas</t>
  </si>
  <si>
    <t>Obtención del Voto</t>
  </si>
  <si>
    <t>SEPTIEMBRE</t>
  </si>
  <si>
    <t>Cuotas sedar - 2%</t>
  </si>
  <si>
    <t>Material didáctico</t>
  </si>
  <si>
    <t>Utensilios para el servicio de comedor</t>
  </si>
  <si>
    <t>Material eléctrico</t>
  </si>
  <si>
    <t>Servicio telefónico</t>
  </si>
  <si>
    <t>Ayuda para despensa</t>
  </si>
  <si>
    <t>Fletes y maniobras</t>
  </si>
  <si>
    <t>Intereses, descuentos y otros servicios bancarios</t>
  </si>
  <si>
    <t>Cuotas al IMSS (Enfermedad y Maternidad)</t>
  </si>
  <si>
    <t>Servicios de lavandería, limpieza, higiene y fumigación</t>
  </si>
  <si>
    <t>Gastos de difusión, información y publicac. oficiales</t>
  </si>
  <si>
    <t>Impresiones de papelería oficial</t>
  </si>
  <si>
    <t>Congresos, convenciones y exposiciones</t>
  </si>
  <si>
    <t>Equipo de computación electrónico</t>
  </si>
  <si>
    <t>OCTUBRE</t>
  </si>
  <si>
    <t>NOVIEMBRE</t>
  </si>
  <si>
    <t>SUELDOS Y SALARIOS POR PAGAR</t>
  </si>
  <si>
    <t>Prima Vacacional y dominical</t>
  </si>
  <si>
    <t>NOMINAL</t>
  </si>
  <si>
    <t>REAL</t>
  </si>
  <si>
    <t>TOTAL PATRIMONIO</t>
  </si>
  <si>
    <t>RESULTADO DEL EJERCICIO</t>
  </si>
  <si>
    <t>EFECTIVO EN BANCOS AL INICIO DEL EJERCICIO</t>
  </si>
  <si>
    <t>ORIGEN DE FONDOS</t>
  </si>
  <si>
    <t>APLICACIÓN DE FONDOS</t>
  </si>
  <si>
    <t>Actividades ordinarias</t>
  </si>
  <si>
    <t>Actividades específicas</t>
  </si>
  <si>
    <t>Materiales y suministros</t>
  </si>
  <si>
    <t>Servicios generales</t>
  </si>
  <si>
    <t>Adquisición de bienes muebles</t>
  </si>
  <si>
    <t>Mobiliario</t>
  </si>
  <si>
    <t xml:space="preserve">TOTAL ACTIVO CIRCULANTE </t>
  </si>
  <si>
    <t xml:space="preserve">TOTAL ACTIVO FIJO </t>
  </si>
  <si>
    <t xml:space="preserve">TOTAL ACTIVO DIFERIDO </t>
  </si>
  <si>
    <t>TOTAL ACTIVO</t>
  </si>
  <si>
    <t xml:space="preserve">TOTAL PASIVO CIRCULANTE </t>
  </si>
  <si>
    <t>TOTAL PASIVO Y PATRIMONIO</t>
  </si>
  <si>
    <t>GASTOS OPERATIVOS</t>
  </si>
  <si>
    <t>Remuneraciones y Prestaciones al Personal</t>
  </si>
  <si>
    <t>Materiales y Suministros</t>
  </si>
  <si>
    <t>Servicios Generales</t>
  </si>
  <si>
    <t>Depreciaciones y Amortizaciones</t>
  </si>
  <si>
    <t>FINANCIAMIENTO PUBLICO A PARTIDOS POLITICOS</t>
  </si>
  <si>
    <t>EGRESOS TOTALES</t>
  </si>
  <si>
    <t>RESULTADO DE OPERACIÓN</t>
  </si>
  <si>
    <t>INGRESOS NETOS</t>
  </si>
  <si>
    <t>501-1000</t>
  </si>
  <si>
    <t>501-2000</t>
  </si>
  <si>
    <t>501-3000</t>
  </si>
  <si>
    <t>EFECTIVO EN BANCOS AL INICIO DEL PERIODO</t>
  </si>
  <si>
    <t>EFECTIVO EN BANCOS AL FINAL DEL PERIODO</t>
  </si>
  <si>
    <t>C   O   N   C   E   P   T   O</t>
  </si>
  <si>
    <t>TOTAL GASTO CORRIENTE</t>
  </si>
  <si>
    <t>TOTAL PARTIDOS POLITICOS</t>
  </si>
  <si>
    <t>PRESUPUESTO POR EJERCER</t>
  </si>
  <si>
    <t>Otros Productos</t>
  </si>
  <si>
    <t>BIENES MUEBLES E INMUEBLES</t>
  </si>
  <si>
    <t>REAL ACUMULADO A LA FECHA</t>
  </si>
  <si>
    <t>EVOLUCION DEL PRESUPUESTO</t>
  </si>
  <si>
    <t>Equipo de oficina</t>
  </si>
  <si>
    <t>Servicios Personales</t>
  </si>
  <si>
    <t>Erogaciones Extraordinarias</t>
  </si>
  <si>
    <t>Acreedores Diversos</t>
  </si>
  <si>
    <t>PRESUPUESTO</t>
  </si>
  <si>
    <t>Estimulo del dia del servidor publico</t>
  </si>
  <si>
    <t>Capacitacion especializada</t>
  </si>
  <si>
    <t>ANALISIS DEL GASTO CORRIENTE</t>
  </si>
  <si>
    <t xml:space="preserve"> </t>
  </si>
  <si>
    <t>Fondo Fijo de Caja</t>
  </si>
  <si>
    <t>Deudores Diversos</t>
  </si>
  <si>
    <t>Impuestos por pagar</t>
  </si>
  <si>
    <t>Cuentas por Pagar</t>
  </si>
  <si>
    <t>5301</t>
  </si>
  <si>
    <t>Sueldos y Salarios por Pagar</t>
  </si>
  <si>
    <t>502</t>
  </si>
  <si>
    <t>507</t>
  </si>
  <si>
    <t>Depósitos en Garantía</t>
  </si>
  <si>
    <t>Otros Gastos</t>
  </si>
  <si>
    <t>DEPOSITOS EN GARANTíA</t>
  </si>
  <si>
    <t>SALDO DISPONIBLE 2003</t>
  </si>
  <si>
    <t>IMPORTE DE TRANSFERENCIAS PARA 2004</t>
  </si>
  <si>
    <t>TOTAL DE INGRESOS</t>
  </si>
  <si>
    <t>ASIGNACION PRESUPUESTAL</t>
  </si>
  <si>
    <t>PDTOS. FINANC. Y OTROS PDTOS.</t>
  </si>
  <si>
    <t>OTRAS ENTRADAS 2004</t>
  </si>
  <si>
    <t>GASTO CORRIENTE</t>
  </si>
  <si>
    <t>TOTAL DEL PRESUPUESTO EJERCIDO</t>
  </si>
  <si>
    <t>SUPERAVIT O DEFICIT DEL PERIODO</t>
  </si>
  <si>
    <t>OTROS PRODUCTOS</t>
  </si>
  <si>
    <t>otras entradas de efectivo</t>
  </si>
  <si>
    <t>ctas. Por pagar</t>
  </si>
  <si>
    <t>credito al salario</t>
  </si>
  <si>
    <t>acreedores diversos</t>
  </si>
  <si>
    <t>TOTAL DISPONIBLE EN EL PERIODO</t>
  </si>
  <si>
    <t>AUMENTO AL EFECTIVO EN BANCOS</t>
  </si>
  <si>
    <t>1204</t>
  </si>
  <si>
    <t>Salarios Personal Eventual</t>
  </si>
  <si>
    <t xml:space="preserve">OTRAS ENTRADAS O SALIDAS DE EFECTIVO </t>
  </si>
  <si>
    <t>ENTRADAS</t>
  </si>
  <si>
    <t>SALIDAS</t>
  </si>
  <si>
    <t>PAGOS PENDIENTES Y EGRESOS A COMPROBAR MES SIGUIENTE</t>
  </si>
  <si>
    <t>( Más )</t>
  </si>
  <si>
    <t>%</t>
  </si>
  <si>
    <t>(Menos)</t>
  </si>
  <si>
    <t>EFECTIVO DISPONIBLE DEL PERIODO</t>
  </si>
  <si>
    <t>ANTICIPO 2006</t>
  </si>
  <si>
    <t>AMPLIACION ASIGNACION PRESUPUESTAL</t>
  </si>
  <si>
    <t xml:space="preserve">T O T A L </t>
  </si>
  <si>
    <t>2402</t>
  </si>
  <si>
    <t>Estructuras y Manufacturas</t>
  </si>
  <si>
    <t xml:space="preserve"> ASIGNACION PRESUPUESTAL</t>
  </si>
  <si>
    <t>Proveedores</t>
  </si>
  <si>
    <t>PROVEEDORES</t>
  </si>
  <si>
    <t>PAGOS PENDIENTES</t>
  </si>
  <si>
    <t xml:space="preserve">EGRESOS POR COMPROBAR </t>
  </si>
  <si>
    <t>EJERCICIO ANTERIOR</t>
  </si>
  <si>
    <t xml:space="preserve">PAGOS PENDIENTES Y POR COMPROBAR </t>
  </si>
  <si>
    <t>Servicios de Vigilancia</t>
  </si>
  <si>
    <t>VARIACION MENSUAL</t>
  </si>
  <si>
    <t>VARIACION ACUMULADA</t>
  </si>
  <si>
    <t>RESULTADO DE EJERCICIOS ANTERIORES</t>
  </si>
  <si>
    <t>3403</t>
  </si>
  <si>
    <t>SUMA GASTO CORRIENTE Y PART. POLITICOS</t>
  </si>
  <si>
    <t>INSTITUTO ELECTORAL Y DE PARTICIPACION CIUDADADANA DEL ESTADO DE JALISCO</t>
  </si>
  <si>
    <t>Arrendamientos Especiales</t>
  </si>
  <si>
    <t>Servicios de Asesoria</t>
  </si>
  <si>
    <t>INSTITUTO ELECTORAL Y DE PARTICIPACION CIUDADANA DEL ESTADO DE JALISCO</t>
  </si>
  <si>
    <t>3206</t>
  </si>
  <si>
    <t>3301</t>
  </si>
  <si>
    <t xml:space="preserve">  </t>
  </si>
  <si>
    <t>INTEGRACION</t>
  </si>
  <si>
    <t>INTEGRACION DEL PRESUPUESTO EJERCIDO DEL MES</t>
  </si>
  <si>
    <t>Mant. y conserv. de mob. y equipo de oficina</t>
  </si>
  <si>
    <t>Mant. y conserv. de equipo de cómputo</t>
  </si>
  <si>
    <t>Mant. y conserv. de maq. y equipo de transp.</t>
  </si>
  <si>
    <t>Mant. y conserv. de inm. e instalaciones fijas</t>
  </si>
  <si>
    <t>Arrend. de maquinaria y equipo</t>
  </si>
  <si>
    <t>Arrend. de edificios y locales</t>
  </si>
  <si>
    <t>Mat. de impresión y reproducción</t>
  </si>
  <si>
    <t>Mat. de impresión para procesamiento</t>
  </si>
  <si>
    <t>1501</t>
  </si>
  <si>
    <t>Fondo de Retiro</t>
  </si>
  <si>
    <t>3507</t>
  </si>
  <si>
    <t>Prerrogativas Partidos Politicos</t>
  </si>
  <si>
    <t>PARTIDOS POLITICOS</t>
  </si>
  <si>
    <t>Asignación Presupuestal ( Gasto Corriente )</t>
  </si>
  <si>
    <t>Asignación Presupuestal ( Proceso Electoral )</t>
  </si>
  <si>
    <t>Adquisición de Activos ( Gasto Corriente )</t>
  </si>
  <si>
    <t>401-001</t>
  </si>
  <si>
    <t>302-001</t>
  </si>
  <si>
    <t>401-003</t>
  </si>
  <si>
    <t>401-006</t>
  </si>
  <si>
    <t>Adquisicion de Activos ( Proceso Electoral )</t>
  </si>
  <si>
    <t>ESTADO DE ORIGEN Y APLICACIÓN DE FONDOS ACUMULADO</t>
  </si>
  <si>
    <t>ESTADO DE ORIGEN Y APLICACIÓN DE FONDOS MENSUAL</t>
  </si>
  <si>
    <t>1502</t>
  </si>
  <si>
    <t>Estímulo al Personal</t>
  </si>
  <si>
    <t>1801</t>
  </si>
  <si>
    <t>Impacto al Salario</t>
  </si>
  <si>
    <t>3404</t>
  </si>
  <si>
    <t>3405</t>
  </si>
  <si>
    <t>3408</t>
  </si>
  <si>
    <t>Accs. Mater. Y Utiles de Eq. De Cómputo</t>
  </si>
  <si>
    <t xml:space="preserve">M E S </t>
  </si>
  <si>
    <t>S U M A</t>
  </si>
  <si>
    <t>CLAVE PRESUPUESTAL</t>
  </si>
  <si>
    <t>SUBSIDIO AL EMPLEO</t>
  </si>
  <si>
    <t>Subsidio al Empleo</t>
  </si>
  <si>
    <t>1307</t>
  </si>
  <si>
    <t>Compensación Extraordinaria</t>
  </si>
  <si>
    <t>1314</t>
  </si>
  <si>
    <t>Laudos, liquidaciones e Indemnizaciones</t>
  </si>
  <si>
    <t>2503</t>
  </si>
  <si>
    <t>2701</t>
  </si>
  <si>
    <t>Productos Farmaceúticos</t>
  </si>
  <si>
    <t>Vestuarios Uniformes Y blancos</t>
  </si>
  <si>
    <t>Laudos, Liquidaciones, Indemnizaciones</t>
  </si>
  <si>
    <t>Vestuarios, Uniformes y Blancos</t>
  </si>
  <si>
    <t>3205</t>
  </si>
  <si>
    <t>Arrendamiento de Vehículos</t>
  </si>
  <si>
    <t>3207</t>
  </si>
  <si>
    <t>Subrogaciones</t>
  </si>
  <si>
    <t>3303</t>
  </si>
  <si>
    <t>Estudios Diversos</t>
  </si>
  <si>
    <t>5103</t>
  </si>
  <si>
    <t>Equipo Educacional y Recreativo</t>
  </si>
  <si>
    <t>Vehículos y Equipo de Transporte</t>
  </si>
  <si>
    <t xml:space="preserve">Cuotas sedar </t>
  </si>
  <si>
    <t>Impacto al  Salario</t>
  </si>
  <si>
    <t>5204</t>
  </si>
  <si>
    <t>Equipo de Telefonía</t>
  </si>
  <si>
    <t>SUMA OTROS INGRESOS</t>
  </si>
  <si>
    <t>Pagos Anticipados</t>
  </si>
  <si>
    <t>CALENDARIZACION 2012 EN BASE AL AJUSTE DE PRESUPUESTO APROBADO EL 31 DE ENERO 2012</t>
  </si>
  <si>
    <t>CALENDARIZACION 2012 EN BASE AL PRESUPUESTO AUTORIZADO POR SEFIN</t>
  </si>
  <si>
    <t>ADMINISTRACION DE RECURSOS</t>
  </si>
  <si>
    <t>PROCESO ELECTORAL 2012</t>
  </si>
  <si>
    <t>25 00 16 002 00064 4142 00</t>
  </si>
  <si>
    <t>25 00 16 002 00064 4142 04</t>
  </si>
  <si>
    <t>25 00 16 001 00064 4471 00</t>
  </si>
  <si>
    <t>DEP.  POR SEFIN</t>
  </si>
  <si>
    <t>FEBRERO ( Y DIC )</t>
  </si>
  <si>
    <t>SEFIN</t>
  </si>
  <si>
    <t>FALTANTE</t>
  </si>
  <si>
    <t>2507</t>
  </si>
  <si>
    <t>Materiales y Suministro de Laboratorio</t>
  </si>
  <si>
    <t>503</t>
  </si>
  <si>
    <t>PRESUPUESTO ORIGINAL                    29 JUL 2011</t>
  </si>
  <si>
    <t xml:space="preserve">  AJUSTE                    31 ENE 2012</t>
  </si>
  <si>
    <t>PRESUPUESTO AJUSTADO                  31 ENE 2012</t>
  </si>
  <si>
    <t>ENERO DE 2012</t>
  </si>
  <si>
    <t>PASIVOS DEL EJERCICIO 2011 A EROGAR EN  2012</t>
  </si>
  <si>
    <t>EFECTIVO DISPONIBLE DEL EJERCICIO 2011</t>
  </si>
  <si>
    <t>FEBRERO DE 2012</t>
  </si>
  <si>
    <t>1504</t>
  </si>
  <si>
    <t>Servicios Médicos y Hospitalarios</t>
  </si>
  <si>
    <t>PRESUPUESTO AJUSTADO                   29 MZO 2012</t>
  </si>
  <si>
    <t>AJUSTE Y TRANSF      DE PARTIDAS          29 MZO 2012</t>
  </si>
  <si>
    <t>MARZO DE 2012</t>
  </si>
  <si>
    <t>ESTADISTICO A  ABRIL  2012</t>
  </si>
  <si>
    <t>REAL ACUMULADO         A ABRIL</t>
  </si>
  <si>
    <t>PRESUPUESTO ACUMULADO        A ABRIL</t>
  </si>
  <si>
    <t>ABRIL 2012</t>
  </si>
  <si>
    <t>Arrend. De Equipo de Computo</t>
  </si>
  <si>
    <t>3204</t>
  </si>
  <si>
    <t>ACUMULADO A ABRIL DE 2012</t>
  </si>
  <si>
    <t>A B R I L   2 0 1 2</t>
  </si>
  <si>
    <t>ABRIL DE 2012</t>
  </si>
  <si>
    <t>ASIGNAC. PRESUP. - ACTIVOS -</t>
  </si>
  <si>
    <t xml:space="preserve"> ABRIL DE 2012</t>
  </si>
  <si>
    <t>DEL 1º ENERO AL 30 DE ABRIL DE 2012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</si>
</sst>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_);_(* \(#,##0\);_(* &quot;-&quot;_);_(@_)"/>
    <numFmt numFmtId="165" formatCode="_-* #,##0\ &quot;Pts&quot;_-;\-* #,##0\ &quot;Pts&quot;_-;_-* &quot;-&quot;\ &quot;Pts&quot;_-;_-@_-"/>
    <numFmt numFmtId="166" formatCode="_-* #,##0\ _P_t_s_-;\-* #,##0\ _P_t_s_-;_-* &quot;-&quot;\ _P_t_s_-;_-@_-"/>
    <numFmt numFmtId="167" formatCode="_-* #,##0.00\ &quot;Pts&quot;_-;\-* #,##0.00\ &quot;Pts&quot;_-;_-* &quot;-&quot;??\ &quot;Pts&quot;_-;_-@_-"/>
    <numFmt numFmtId="168" formatCode="_-* #,##0.00\ _P_t_s_-;\-* #,##0.00\ _P_t_s_-;_-* &quot;-&quot;??\ _P_t_s_-;_-@_-"/>
    <numFmt numFmtId="169" formatCode="0.0%"/>
    <numFmt numFmtId="170" formatCode="#,##0_ ;\-#,##0\ "/>
    <numFmt numFmtId="171" formatCode="_-* #,##0\ _P_t_s_-;\-* #,##0\ _P_t_s_-;_-* &quot;-&quot;??\ _P_t_s_-;_-@_-"/>
    <numFmt numFmtId="172" formatCode="_(* #,##0_);_(* \(#,##0\);_(* &quot;-&quot;??_);_(@_)"/>
    <numFmt numFmtId="173" formatCode="_-* #,##0_-;\-* #,##0_-;_-* &quot;-&quot;??_-;_-@_-"/>
    <numFmt numFmtId="174" formatCode="_(* #,##0_);_(* \(#,##0\);_(* &quot;-&quot;?_);_(@_)"/>
    <numFmt numFmtId="175" formatCode="_(* #,##0.00_);_(* \(#,##0.00\);_(* &quot;-&quot;??_);_(@_)"/>
    <numFmt numFmtId="176" formatCode="#,##0_);\(#,##0\)"/>
    <numFmt numFmtId="177" formatCode="0.0000000000"/>
    <numFmt numFmtId="178" formatCode="0.0"/>
    <numFmt numFmtId="179" formatCode="_-* \(#,##0\)_-;\-* #,##0_-;_-* &quot;-&quot;??_-;_-@_-"/>
    <numFmt numFmtId="180" formatCode="0.000%"/>
    <numFmt numFmtId="181" formatCode="#,##0.00_ ;\-#,##0.00\ "/>
    <numFmt numFmtId="182" formatCode="#,##0.0_ ;\-#,##0.0\ "/>
    <numFmt numFmtId="183" formatCode="_-[$$-80A]* #,##0_-;\-[$$-80A]* #,##0_-;_-[$$-80A]* &quot;-&quot;??_-;_-@_-"/>
    <numFmt numFmtId="184" formatCode="_-[$$-80A]* #,##0.00_-;\-[$$-80A]* #,##0.00_-;_-[$$-80A]* &quot;-&quot;??_-;_-@_-"/>
    <numFmt numFmtId="185" formatCode="_-[$$-80A]* #,##0.0_-;\-[$$-80A]* #,##0.0_-;_-[$$-80A]* &quot;-&quot;??_-;_-@_-"/>
  </numFmts>
  <fonts count="54">
    <font>
      <sz val="12"/>
      <name val="Garamond"/>
      <family val="0"/>
    </font>
    <font>
      <sz val="10"/>
      <name val="Arial"/>
      <family val="0"/>
    </font>
    <font>
      <u val="single"/>
      <sz val="8.4"/>
      <color indexed="12"/>
      <name val="Garamond"/>
      <family val="0"/>
    </font>
    <font>
      <u val="single"/>
      <sz val="8.4"/>
      <color indexed="36"/>
      <name val="Garamond"/>
      <family val="0"/>
    </font>
    <font>
      <sz val="12"/>
      <name val="Trebuchet MS"/>
      <family val="2"/>
    </font>
    <font>
      <b/>
      <sz val="14"/>
      <name val="Trebuchet MS"/>
      <family val="2"/>
    </font>
    <font>
      <b/>
      <sz val="12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0"/>
      <name val="Trebuchet MS"/>
      <family val="2"/>
    </font>
    <font>
      <b/>
      <u val="single"/>
      <sz val="10"/>
      <name val="Trebuchet MS"/>
      <family val="2"/>
    </font>
    <font>
      <b/>
      <sz val="11"/>
      <name val="Trebuchet MS"/>
      <family val="2"/>
    </font>
    <font>
      <b/>
      <sz val="13"/>
      <name val="Trebuchet MS"/>
      <family val="2"/>
    </font>
    <font>
      <sz val="14"/>
      <name val="Trebuchet MS"/>
      <family val="2"/>
    </font>
    <font>
      <sz val="11"/>
      <name val="Trebuchet MS"/>
      <family val="2"/>
    </font>
    <font>
      <b/>
      <sz val="15"/>
      <name val="Trebuchet MS"/>
      <family val="2"/>
    </font>
    <font>
      <b/>
      <sz val="18"/>
      <name val="Trebuchet MS"/>
      <family val="2"/>
    </font>
    <font>
      <sz val="9"/>
      <name val="Trebuchet MS"/>
      <family val="2"/>
    </font>
    <font>
      <b/>
      <sz val="8"/>
      <name val="Trebuchet MS"/>
      <family val="2"/>
    </font>
    <font>
      <u val="single"/>
      <sz val="10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medium"/>
      <top style="thin"/>
      <bottom style="double"/>
    </border>
    <border>
      <left/>
      <right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5" fillId="30" borderId="0" applyNumberFormat="0" applyBorder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412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37" fontId="4" fillId="0" borderId="0" xfId="0" applyNumberFormat="1" applyFont="1" applyBorder="1" applyAlignment="1">
      <alignment/>
    </xf>
    <xf numFmtId="0" fontId="4" fillId="0" borderId="11" xfId="0" applyFont="1" applyBorder="1" applyAlignment="1">
      <alignment/>
    </xf>
    <xf numFmtId="176" fontId="4" fillId="0" borderId="11" xfId="0" applyNumberFormat="1" applyFont="1" applyBorder="1" applyAlignment="1">
      <alignment/>
    </xf>
    <xf numFmtId="37" fontId="4" fillId="0" borderId="11" xfId="0" applyNumberFormat="1" applyFont="1" applyBorder="1" applyAlignment="1">
      <alignment/>
    </xf>
    <xf numFmtId="3" fontId="4" fillId="0" borderId="0" xfId="0" applyNumberFormat="1" applyFont="1" applyAlignment="1">
      <alignment horizontal="center"/>
    </xf>
    <xf numFmtId="37" fontId="6" fillId="33" borderId="12" xfId="0" applyNumberFormat="1" applyFont="1" applyFill="1" applyBorder="1" applyAlignment="1">
      <alignment/>
    </xf>
    <xf numFmtId="172" fontId="6" fillId="33" borderId="13" xfId="0" applyNumberFormat="1" applyFont="1" applyFill="1" applyBorder="1" applyAlignment="1">
      <alignment/>
    </xf>
    <xf numFmtId="0" fontId="6" fillId="0" borderId="10" xfId="0" applyFont="1" applyBorder="1" applyAlignment="1">
      <alignment/>
    </xf>
    <xf numFmtId="37" fontId="6" fillId="0" borderId="0" xfId="0" applyNumberFormat="1" applyFont="1" applyBorder="1" applyAlignment="1">
      <alignment/>
    </xf>
    <xf numFmtId="37" fontId="6" fillId="0" borderId="11" xfId="0" applyNumberFormat="1" applyFont="1" applyBorder="1" applyAlignment="1">
      <alignment/>
    </xf>
    <xf numFmtId="0" fontId="4" fillId="0" borderId="10" xfId="0" applyFont="1" applyFill="1" applyBorder="1" applyAlignment="1">
      <alignment/>
    </xf>
    <xf numFmtId="37" fontId="4" fillId="0" borderId="0" xfId="0" applyNumberFormat="1" applyFont="1" applyFill="1" applyBorder="1" applyAlignment="1">
      <alignment/>
    </xf>
    <xf numFmtId="37" fontId="6" fillId="34" borderId="12" xfId="0" applyNumberFormat="1" applyFont="1" applyFill="1" applyBorder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Fill="1" applyBorder="1" applyAlignment="1">
      <alignment/>
    </xf>
    <xf numFmtId="37" fontId="6" fillId="0" borderId="0" xfId="0" applyNumberFormat="1" applyFont="1" applyFill="1" applyBorder="1" applyAlignment="1">
      <alignment/>
    </xf>
    <xf numFmtId="176" fontId="6" fillId="0" borderId="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horizontal="right"/>
    </xf>
    <xf numFmtId="0" fontId="4" fillId="0" borderId="0" xfId="0" applyFont="1" applyBorder="1" applyAlignment="1">
      <alignment horizontal="right"/>
    </xf>
    <xf numFmtId="37" fontId="4" fillId="0" borderId="0" xfId="0" applyNumberFormat="1" applyFont="1" applyAlignment="1">
      <alignment/>
    </xf>
    <xf numFmtId="0" fontId="4" fillId="0" borderId="0" xfId="0" applyFont="1" applyFill="1" applyBorder="1" applyAlignment="1">
      <alignment/>
    </xf>
    <xf numFmtId="9" fontId="6" fillId="0" borderId="0" xfId="59" applyFont="1" applyBorder="1" applyAlignment="1" applyProtection="1">
      <alignment horizontal="center"/>
      <protection locked="0"/>
    </xf>
    <xf numFmtId="37" fontId="6" fillId="0" borderId="0" xfId="0" applyNumberFormat="1" applyFont="1" applyAlignment="1">
      <alignment/>
    </xf>
    <xf numFmtId="9" fontId="5" fillId="0" borderId="0" xfId="59" applyFont="1" applyBorder="1" applyAlignment="1" applyProtection="1">
      <alignment horizontal="center"/>
      <protection locked="0"/>
    </xf>
    <xf numFmtId="4" fontId="4" fillId="0" borderId="0" xfId="0" applyNumberFormat="1" applyFont="1" applyFill="1" applyBorder="1" applyAlignment="1">
      <alignment/>
    </xf>
    <xf numFmtId="4" fontId="4" fillId="0" borderId="0" xfId="0" applyNumberFormat="1" applyFont="1" applyBorder="1" applyAlignment="1">
      <alignment/>
    </xf>
    <xf numFmtId="4" fontId="7" fillId="0" borderId="0" xfId="0" applyNumberFormat="1" applyFont="1" applyFill="1" applyBorder="1" applyAlignment="1">
      <alignment horizontal="center" vertical="center" wrapText="1"/>
    </xf>
    <xf numFmtId="9" fontId="4" fillId="0" borderId="0" xfId="59" applyFont="1" applyAlignment="1">
      <alignment/>
    </xf>
    <xf numFmtId="49" fontId="4" fillId="0" borderId="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169" fontId="4" fillId="0" borderId="0" xfId="0" applyNumberFormat="1" applyFont="1" applyBorder="1" applyAlignment="1">
      <alignment/>
    </xf>
    <xf numFmtId="10" fontId="4" fillId="0" borderId="11" xfId="59" applyNumberFormat="1" applyFont="1" applyFill="1" applyBorder="1" applyAlignment="1">
      <alignment/>
    </xf>
    <xf numFmtId="37" fontId="4" fillId="0" borderId="0" xfId="0" applyNumberFormat="1" applyFont="1" applyFill="1" applyBorder="1" applyAlignment="1" applyProtection="1">
      <alignment/>
      <protection locked="0"/>
    </xf>
    <xf numFmtId="49" fontId="4" fillId="34" borderId="10" xfId="0" applyNumberFormat="1" applyFont="1" applyFill="1" applyBorder="1" applyAlignment="1">
      <alignment horizontal="center"/>
    </xf>
    <xf numFmtId="4" fontId="4" fillId="34" borderId="0" xfId="0" applyNumberFormat="1" applyFont="1" applyFill="1" applyBorder="1" applyAlignment="1">
      <alignment/>
    </xf>
    <xf numFmtId="37" fontId="4" fillId="34" borderId="0" xfId="0" applyNumberFormat="1" applyFont="1" applyFill="1" applyBorder="1" applyAlignment="1">
      <alignment/>
    </xf>
    <xf numFmtId="169" fontId="4" fillId="34" borderId="0" xfId="0" applyNumberFormat="1" applyFont="1" applyFill="1" applyBorder="1" applyAlignment="1">
      <alignment/>
    </xf>
    <xf numFmtId="10" fontId="4" fillId="34" borderId="11" xfId="59" applyNumberFormat="1" applyFont="1" applyFill="1" applyBorder="1" applyAlignment="1">
      <alignment/>
    </xf>
    <xf numFmtId="37" fontId="4" fillId="0" borderId="0" xfId="0" applyNumberFormat="1" applyFont="1" applyBorder="1" applyAlignment="1" applyProtection="1">
      <alignment/>
      <protection locked="0"/>
    </xf>
    <xf numFmtId="0" fontId="4" fillId="34" borderId="0" xfId="0" applyFont="1" applyFill="1" applyAlignment="1">
      <alignment/>
    </xf>
    <xf numFmtId="49" fontId="5" fillId="0" borderId="0" xfId="0" applyNumberFormat="1" applyFont="1" applyFill="1" applyBorder="1" applyAlignment="1">
      <alignment horizontal="center"/>
    </xf>
    <xf numFmtId="37" fontId="4" fillId="0" borderId="0" xfId="0" applyNumberFormat="1" applyFont="1" applyFill="1" applyAlignment="1">
      <alignment/>
    </xf>
    <xf numFmtId="49" fontId="4" fillId="0" borderId="10" xfId="0" applyNumberFormat="1" applyFont="1" applyBorder="1" applyAlignment="1">
      <alignment horizontal="center"/>
    </xf>
    <xf numFmtId="169" fontId="4" fillId="0" borderId="11" xfId="59" applyNumberFormat="1" applyFont="1" applyBorder="1" applyAlignment="1">
      <alignment/>
    </xf>
    <xf numFmtId="3" fontId="4" fillId="0" borderId="0" xfId="0" applyNumberFormat="1" applyFont="1" applyFill="1" applyBorder="1" applyAlignment="1">
      <alignment/>
    </xf>
    <xf numFmtId="49" fontId="4" fillId="0" borderId="0" xfId="0" applyNumberFormat="1" applyFont="1" applyAlignment="1">
      <alignment/>
    </xf>
    <xf numFmtId="37" fontId="5" fillId="0" borderId="0" xfId="0" applyNumberFormat="1" applyFont="1" applyBorder="1" applyAlignment="1">
      <alignment/>
    </xf>
    <xf numFmtId="49" fontId="4" fillId="0" borderId="0" xfId="0" applyNumberFormat="1" applyFont="1" applyFill="1" applyBorder="1" applyAlignment="1">
      <alignment/>
    </xf>
    <xf numFmtId="3" fontId="5" fillId="0" borderId="0" xfId="0" applyNumberFormat="1" applyFont="1" applyBorder="1" applyAlignment="1">
      <alignment/>
    </xf>
    <xf numFmtId="39" fontId="4" fillId="0" borderId="0" xfId="0" applyNumberFormat="1" applyFont="1" applyAlignment="1">
      <alignment/>
    </xf>
    <xf numFmtId="49" fontId="5" fillId="0" borderId="0" xfId="0" applyNumberFormat="1" applyFont="1" applyBorder="1" applyAlignment="1">
      <alignment horizontal="center"/>
    </xf>
    <xf numFmtId="4" fontId="5" fillId="0" borderId="0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37" fontId="4" fillId="0" borderId="0" xfId="48" applyNumberFormat="1" applyFont="1" applyAlignment="1">
      <alignment/>
    </xf>
    <xf numFmtId="9" fontId="4" fillId="0" borderId="0" xfId="59" applyFont="1" applyFill="1" applyAlignment="1">
      <alignment/>
    </xf>
    <xf numFmtId="0" fontId="7" fillId="0" borderId="0" xfId="0" applyFont="1" applyAlignment="1">
      <alignment/>
    </xf>
    <xf numFmtId="4" fontId="4" fillId="0" borderId="14" xfId="0" applyNumberFormat="1" applyFont="1" applyBorder="1" applyAlignment="1">
      <alignment/>
    </xf>
    <xf numFmtId="37" fontId="4" fillId="0" borderId="14" xfId="0" applyNumberFormat="1" applyFont="1" applyBorder="1" applyAlignment="1">
      <alignment/>
    </xf>
    <xf numFmtId="4" fontId="7" fillId="33" borderId="15" xfId="0" applyNumberFormat="1" applyFont="1" applyFill="1" applyBorder="1" applyAlignment="1">
      <alignment/>
    </xf>
    <xf numFmtId="37" fontId="7" fillId="33" borderId="12" xfId="0" applyNumberFormat="1" applyFont="1" applyFill="1" applyBorder="1" applyAlignment="1">
      <alignment horizontal="center" vertical="center"/>
    </xf>
    <xf numFmtId="4" fontId="4" fillId="0" borderId="10" xfId="0" applyNumberFormat="1" applyFont="1" applyBorder="1" applyAlignment="1">
      <alignment/>
    </xf>
    <xf numFmtId="164" fontId="4" fillId="0" borderId="0" xfId="0" applyNumberFormat="1" applyFont="1" applyBorder="1" applyAlignment="1">
      <alignment/>
    </xf>
    <xf numFmtId="4" fontId="6" fillId="34" borderId="15" xfId="0" applyNumberFormat="1" applyFont="1" applyFill="1" applyBorder="1" applyAlignment="1">
      <alignment/>
    </xf>
    <xf numFmtId="164" fontId="6" fillId="34" borderId="12" xfId="0" applyNumberFormat="1" applyFont="1" applyFill="1" applyBorder="1" applyAlignment="1">
      <alignment/>
    </xf>
    <xf numFmtId="4" fontId="6" fillId="0" borderId="10" xfId="0" applyNumberFormat="1" applyFont="1" applyBorder="1" applyAlignment="1">
      <alignment/>
    </xf>
    <xf numFmtId="4" fontId="6" fillId="0" borderId="0" xfId="0" applyNumberFormat="1" applyFont="1" applyBorder="1" applyAlignment="1">
      <alignment/>
    </xf>
    <xf numFmtId="4" fontId="4" fillId="0" borderId="10" xfId="0" applyNumberFormat="1" applyFont="1" applyFill="1" applyBorder="1" applyAlignment="1">
      <alignment/>
    </xf>
    <xf numFmtId="4" fontId="6" fillId="33" borderId="15" xfId="0" applyNumberFormat="1" applyFont="1" applyFill="1" applyBorder="1" applyAlignment="1">
      <alignment/>
    </xf>
    <xf numFmtId="172" fontId="6" fillId="33" borderId="12" xfId="0" applyNumberFormat="1" applyFont="1" applyFill="1" applyBorder="1" applyAlignment="1">
      <alignment/>
    </xf>
    <xf numFmtId="4" fontId="6" fillId="0" borderId="10" xfId="0" applyNumberFormat="1" applyFont="1" applyFill="1" applyBorder="1" applyAlignment="1">
      <alignment/>
    </xf>
    <xf numFmtId="172" fontId="6" fillId="34" borderId="12" xfId="0" applyNumberFormat="1" applyFont="1" applyFill="1" applyBorder="1" applyAlignment="1">
      <alignment/>
    </xf>
    <xf numFmtId="164" fontId="4" fillId="0" borderId="14" xfId="0" applyNumberFormat="1" applyFont="1" applyBorder="1" applyAlignment="1">
      <alignment/>
    </xf>
    <xf numFmtId="4" fontId="6" fillId="33" borderId="16" xfId="0" applyNumberFormat="1" applyFont="1" applyFill="1" applyBorder="1" applyAlignment="1">
      <alignment/>
    </xf>
    <xf numFmtId="37" fontId="6" fillId="33" borderId="17" xfId="0" applyNumberFormat="1" applyFont="1" applyFill="1" applyBorder="1" applyAlignment="1">
      <alignment/>
    </xf>
    <xf numFmtId="164" fontId="6" fillId="33" borderId="17" xfId="0" applyNumberFormat="1" applyFont="1" applyFill="1" applyBorder="1" applyAlignment="1">
      <alignment/>
    </xf>
    <xf numFmtId="0" fontId="9" fillId="0" borderId="0" xfId="57" applyFont="1">
      <alignment/>
      <protection/>
    </xf>
    <xf numFmtId="43" fontId="9" fillId="0" borderId="0" xfId="52" applyFont="1" applyAlignment="1">
      <alignment/>
    </xf>
    <xf numFmtId="0" fontId="7" fillId="0" borderId="18" xfId="0" applyFont="1" applyFill="1" applyBorder="1" applyAlignment="1">
      <alignment/>
    </xf>
    <xf numFmtId="37" fontId="7" fillId="0" borderId="18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37" fontId="7" fillId="0" borderId="0" xfId="0" applyNumberFormat="1" applyFont="1" applyFill="1" applyBorder="1" applyAlignment="1">
      <alignment/>
    </xf>
    <xf numFmtId="0" fontId="9" fillId="0" borderId="0" xfId="57" applyFont="1" applyFill="1">
      <alignment/>
      <protection/>
    </xf>
    <xf numFmtId="43" fontId="9" fillId="0" borderId="0" xfId="52" applyFont="1" applyFill="1" applyAlignment="1">
      <alignment/>
    </xf>
    <xf numFmtId="0" fontId="11" fillId="0" borderId="0" xfId="57" applyFont="1">
      <alignment/>
      <protection/>
    </xf>
    <xf numFmtId="173" fontId="7" fillId="0" borderId="0" xfId="52" applyNumberFormat="1" applyFont="1" applyAlignment="1">
      <alignment/>
    </xf>
    <xf numFmtId="173" fontId="9" fillId="0" borderId="0" xfId="52" applyNumberFormat="1" applyFont="1" applyAlignment="1">
      <alignment/>
    </xf>
    <xf numFmtId="37" fontId="7" fillId="0" borderId="0" xfId="57" applyNumberFormat="1" applyFont="1">
      <alignment/>
      <protection/>
    </xf>
    <xf numFmtId="37" fontId="9" fillId="0" borderId="0" xfId="57" applyNumberFormat="1" applyFont="1">
      <alignment/>
      <protection/>
    </xf>
    <xf numFmtId="37" fontId="9" fillId="0" borderId="14" xfId="57" applyNumberFormat="1" applyFont="1" applyBorder="1">
      <alignment/>
      <protection/>
    </xf>
    <xf numFmtId="0" fontId="7" fillId="0" borderId="0" xfId="57" applyFont="1">
      <alignment/>
      <protection/>
    </xf>
    <xf numFmtId="173" fontId="9" fillId="0" borderId="14" xfId="52" applyNumberFormat="1" applyFont="1" applyBorder="1" applyAlignment="1">
      <alignment/>
    </xf>
    <xf numFmtId="172" fontId="9" fillId="0" borderId="0" xfId="52" applyNumberFormat="1" applyFont="1" applyAlignment="1">
      <alignment/>
    </xf>
    <xf numFmtId="173" fontId="9" fillId="0" borderId="19" xfId="52" applyNumberFormat="1" applyFont="1" applyBorder="1" applyAlignment="1">
      <alignment/>
    </xf>
    <xf numFmtId="43" fontId="8" fillId="0" borderId="0" xfId="57" applyNumberFormat="1" applyFont="1">
      <alignment/>
      <protection/>
    </xf>
    <xf numFmtId="43" fontId="9" fillId="0" borderId="0" xfId="57" applyNumberFormat="1" applyFont="1">
      <alignment/>
      <protection/>
    </xf>
    <xf numFmtId="0" fontId="9" fillId="0" borderId="0" xfId="57" applyFont="1" applyAlignment="1">
      <alignment/>
      <protection/>
    </xf>
    <xf numFmtId="43" fontId="9" fillId="0" borderId="0" xfId="52" applyFont="1" applyAlignment="1">
      <alignment/>
    </xf>
    <xf numFmtId="0" fontId="7" fillId="0" borderId="18" xfId="0" applyFont="1" applyFill="1" applyBorder="1" applyAlignment="1">
      <alignment/>
    </xf>
    <xf numFmtId="37" fontId="7" fillId="0" borderId="18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37" fontId="7" fillId="0" borderId="0" xfId="0" applyNumberFormat="1" applyFont="1" applyFill="1" applyBorder="1" applyAlignment="1">
      <alignment/>
    </xf>
    <xf numFmtId="173" fontId="9" fillId="0" borderId="0" xfId="52" applyNumberFormat="1" applyFont="1" applyAlignment="1">
      <alignment/>
    </xf>
    <xf numFmtId="0" fontId="9" fillId="0" borderId="0" xfId="57" applyFont="1" applyFill="1" applyAlignment="1">
      <alignment/>
      <protection/>
    </xf>
    <xf numFmtId="43" fontId="9" fillId="0" borderId="0" xfId="52" applyFont="1" applyFill="1" applyAlignment="1">
      <alignment/>
    </xf>
    <xf numFmtId="0" fontId="11" fillId="0" borderId="0" xfId="57" applyFont="1" applyAlignment="1">
      <alignment/>
      <protection/>
    </xf>
    <xf numFmtId="37" fontId="7" fillId="0" borderId="0" xfId="57" applyNumberFormat="1" applyFont="1" applyAlignment="1">
      <alignment/>
      <protection/>
    </xf>
    <xf numFmtId="37" fontId="9" fillId="0" borderId="0" xfId="57" applyNumberFormat="1" applyFont="1" applyAlignment="1">
      <alignment/>
      <protection/>
    </xf>
    <xf numFmtId="0" fontId="7" fillId="0" borderId="0" xfId="57" applyFont="1" applyAlignment="1">
      <alignment/>
      <protection/>
    </xf>
    <xf numFmtId="173" fontId="9" fillId="0" borderId="19" xfId="52" applyNumberFormat="1" applyFont="1" applyBorder="1" applyAlignment="1">
      <alignment/>
    </xf>
    <xf numFmtId="1" fontId="9" fillId="0" borderId="0" xfId="57" applyNumberFormat="1" applyFont="1" applyAlignment="1">
      <alignment/>
      <protection/>
    </xf>
    <xf numFmtId="1" fontId="9" fillId="0" borderId="19" xfId="57" applyNumberFormat="1" applyFont="1" applyBorder="1" applyAlignment="1">
      <alignment/>
      <protection/>
    </xf>
    <xf numFmtId="43" fontId="9" fillId="0" borderId="0" xfId="52" applyFont="1" applyBorder="1" applyAlignment="1">
      <alignment/>
    </xf>
    <xf numFmtId="1" fontId="9" fillId="0" borderId="0" xfId="57" applyNumberFormat="1" applyFont="1" applyBorder="1" applyAlignment="1">
      <alignment/>
      <protection/>
    </xf>
    <xf numFmtId="173" fontId="9" fillId="0" borderId="0" xfId="52" applyNumberFormat="1" applyFont="1" applyFill="1" applyAlignment="1">
      <alignment/>
    </xf>
    <xf numFmtId="176" fontId="9" fillId="0" borderId="0" xfId="52" applyNumberFormat="1" applyFont="1" applyFill="1" applyAlignment="1">
      <alignment/>
    </xf>
    <xf numFmtId="173" fontId="9" fillId="0" borderId="0" xfId="57" applyNumberFormat="1" applyFont="1">
      <alignment/>
      <protection/>
    </xf>
    <xf numFmtId="173" fontId="9" fillId="0" borderId="0" xfId="52" applyNumberFormat="1" applyFont="1" applyFill="1" applyAlignment="1">
      <alignment/>
    </xf>
    <xf numFmtId="172" fontId="9" fillId="0" borderId="0" xfId="52" applyNumberFormat="1" applyFont="1" applyFill="1" applyAlignment="1">
      <alignment/>
    </xf>
    <xf numFmtId="3" fontId="4" fillId="0" borderId="0" xfId="0" applyNumberFormat="1" applyFont="1" applyFill="1" applyBorder="1" applyAlignment="1">
      <alignment horizontal="left"/>
    </xf>
    <xf numFmtId="0" fontId="4" fillId="0" borderId="10" xfId="0" applyNumberFormat="1" applyFont="1" applyBorder="1" applyAlignment="1">
      <alignment horizontal="center"/>
    </xf>
    <xf numFmtId="37" fontId="4" fillId="34" borderId="0" xfId="0" applyNumberFormat="1" applyFont="1" applyFill="1" applyBorder="1" applyAlignment="1" applyProtection="1">
      <alignment/>
      <protection/>
    </xf>
    <xf numFmtId="37" fontId="4" fillId="0" borderId="0" xfId="0" applyNumberFormat="1" applyFont="1" applyBorder="1" applyAlignment="1" applyProtection="1">
      <alignment/>
      <protection/>
    </xf>
    <xf numFmtId="37" fontId="4" fillId="0" borderId="0" xfId="0" applyNumberFormat="1" applyFont="1" applyFill="1" applyBorder="1" applyAlignment="1" applyProtection="1">
      <alignment/>
      <protection/>
    </xf>
    <xf numFmtId="37" fontId="7" fillId="33" borderId="12" xfId="0" applyNumberFormat="1" applyFont="1" applyFill="1" applyBorder="1" applyAlignment="1">
      <alignment horizontal="center" vertical="justify"/>
    </xf>
    <xf numFmtId="177" fontId="4" fillId="0" borderId="0" xfId="0" applyNumberFormat="1" applyFont="1" applyAlignment="1">
      <alignment/>
    </xf>
    <xf numFmtId="49" fontId="5" fillId="0" borderId="10" xfId="0" applyNumberFormat="1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/>
    </xf>
    <xf numFmtId="37" fontId="5" fillId="0" borderId="0" xfId="0" applyNumberFormat="1" applyFont="1" applyFill="1" applyBorder="1" applyAlignment="1" applyProtection="1">
      <alignment/>
      <protection locked="0"/>
    </xf>
    <xf numFmtId="169" fontId="5" fillId="0" borderId="0" xfId="0" applyNumberFormat="1" applyFont="1" applyFill="1" applyBorder="1" applyAlignment="1">
      <alignment/>
    </xf>
    <xf numFmtId="172" fontId="5" fillId="0" borderId="0" xfId="0" applyNumberFormat="1" applyFont="1" applyFill="1" applyBorder="1" applyAlignment="1" applyProtection="1">
      <alignment/>
      <protection locked="0"/>
    </xf>
    <xf numFmtId="10" fontId="5" fillId="0" borderId="11" xfId="59" applyNumberFormat="1" applyFont="1" applyFill="1" applyBorder="1" applyAlignment="1">
      <alignment/>
    </xf>
    <xf numFmtId="37" fontId="5" fillId="0" borderId="0" xfId="0" applyNumberFormat="1" applyFont="1" applyFill="1" applyBorder="1" applyAlignment="1" applyProtection="1">
      <alignment/>
      <protection/>
    </xf>
    <xf numFmtId="10" fontId="5" fillId="0" borderId="11" xfId="59" applyNumberFormat="1" applyFont="1" applyFill="1" applyBorder="1" applyAlignment="1" applyProtection="1">
      <alignment/>
      <protection/>
    </xf>
    <xf numFmtId="176" fontId="4" fillId="0" borderId="0" xfId="0" applyNumberFormat="1" applyFont="1" applyBorder="1" applyAlignment="1">
      <alignment/>
    </xf>
    <xf numFmtId="172" fontId="9" fillId="0" borderId="0" xfId="52" applyNumberFormat="1" applyFont="1" applyAlignment="1">
      <alignment/>
    </xf>
    <xf numFmtId="176" fontId="7" fillId="0" borderId="0" xfId="52" applyNumberFormat="1" applyFont="1" applyFill="1" applyAlignment="1">
      <alignment/>
    </xf>
    <xf numFmtId="173" fontId="7" fillId="0" borderId="0" xfId="52" applyNumberFormat="1" applyFont="1" applyFill="1" applyAlignment="1">
      <alignment/>
    </xf>
    <xf numFmtId="171" fontId="9" fillId="0" borderId="0" xfId="48" applyNumberFormat="1" applyFont="1" applyAlignment="1">
      <alignment horizontal="center"/>
    </xf>
    <xf numFmtId="0" fontId="9" fillId="0" borderId="0" xfId="57" applyFont="1" applyAlignment="1">
      <alignment horizontal="center"/>
      <protection/>
    </xf>
    <xf numFmtId="171" fontId="9" fillId="0" borderId="0" xfId="57" applyNumberFormat="1" applyFont="1">
      <alignment/>
      <protection/>
    </xf>
    <xf numFmtId="0" fontId="7" fillId="0" borderId="0" xfId="57" applyFont="1" applyAlignment="1">
      <alignment horizontal="center"/>
      <protection/>
    </xf>
    <xf numFmtId="173" fontId="9" fillId="0" borderId="0" xfId="48" applyNumberFormat="1" applyFont="1" applyAlignment="1">
      <alignment horizontal="center"/>
    </xf>
    <xf numFmtId="173" fontId="14" fillId="0" borderId="0" xfId="52" applyNumberFormat="1" applyFont="1" applyAlignment="1">
      <alignment horizontal="center"/>
    </xf>
    <xf numFmtId="9" fontId="4" fillId="0" borderId="0" xfId="59" applyNumberFormat="1" applyFont="1" applyAlignment="1">
      <alignment horizontal="right"/>
    </xf>
    <xf numFmtId="169" fontId="4" fillId="0" borderId="11" xfId="59" applyNumberFormat="1" applyFont="1" applyFill="1" applyBorder="1" applyAlignment="1">
      <alignment horizontal="right"/>
    </xf>
    <xf numFmtId="169" fontId="4" fillId="34" borderId="11" xfId="59" applyNumberFormat="1" applyFont="1" applyFill="1" applyBorder="1" applyAlignment="1">
      <alignment horizontal="right"/>
    </xf>
    <xf numFmtId="9" fontId="5" fillId="0" borderId="11" xfId="59" applyFont="1" applyFill="1" applyBorder="1" applyAlignment="1" applyProtection="1">
      <alignment horizontal="right"/>
      <protection locked="0"/>
    </xf>
    <xf numFmtId="169" fontId="4" fillId="0" borderId="11" xfId="59" applyNumberFormat="1" applyFont="1" applyBorder="1" applyAlignment="1">
      <alignment horizontal="right"/>
    </xf>
    <xf numFmtId="0" fontId="9" fillId="0" borderId="0" xfId="56" applyFont="1">
      <alignment/>
      <protection/>
    </xf>
    <xf numFmtId="0" fontId="7" fillId="0" borderId="0" xfId="56" applyFont="1">
      <alignment/>
      <protection/>
    </xf>
    <xf numFmtId="4" fontId="5" fillId="0" borderId="0" xfId="0" applyNumberFormat="1" applyFont="1" applyFill="1" applyBorder="1" applyAlignment="1">
      <alignment horizontal="center"/>
    </xf>
    <xf numFmtId="37" fontId="7" fillId="33" borderId="13" xfId="0" applyNumberFormat="1" applyFont="1" applyFill="1" applyBorder="1" applyAlignment="1">
      <alignment horizontal="centerContinuous" vertical="distributed"/>
    </xf>
    <xf numFmtId="164" fontId="4" fillId="0" borderId="11" xfId="0" applyNumberFormat="1" applyFont="1" applyBorder="1" applyAlignment="1">
      <alignment/>
    </xf>
    <xf numFmtId="164" fontId="6" fillId="34" borderId="13" xfId="0" applyNumberFormat="1" applyFont="1" applyFill="1" applyBorder="1" applyAlignment="1">
      <alignment/>
    </xf>
    <xf numFmtId="172" fontId="6" fillId="34" borderId="13" xfId="0" applyNumberFormat="1" applyFont="1" applyFill="1" applyBorder="1" applyAlignment="1">
      <alignment/>
    </xf>
    <xf numFmtId="37" fontId="4" fillId="0" borderId="11" xfId="0" applyNumberFormat="1" applyFont="1" applyFill="1" applyBorder="1" applyAlignment="1">
      <alignment/>
    </xf>
    <xf numFmtId="37" fontId="6" fillId="0" borderId="11" xfId="0" applyNumberFormat="1" applyFont="1" applyFill="1" applyBorder="1" applyAlignment="1">
      <alignment/>
    </xf>
    <xf numFmtId="164" fontId="6" fillId="33" borderId="20" xfId="0" applyNumberFormat="1" applyFont="1" applyFill="1" applyBorder="1" applyAlignment="1">
      <alignment/>
    </xf>
    <xf numFmtId="9" fontId="4" fillId="0" borderId="11" xfId="59" applyFont="1" applyFill="1" applyBorder="1" applyAlignment="1" applyProtection="1">
      <alignment horizontal="center"/>
      <protection locked="0"/>
    </xf>
    <xf numFmtId="9" fontId="4" fillId="34" borderId="11" xfId="59" applyFont="1" applyFill="1" applyBorder="1" applyAlignment="1" applyProtection="1">
      <alignment horizontal="center"/>
      <protection locked="0"/>
    </xf>
    <xf numFmtId="9" fontId="4" fillId="0" borderId="21" xfId="59" applyFont="1" applyFill="1" applyBorder="1" applyAlignment="1" applyProtection="1">
      <alignment horizontal="center"/>
      <protection locked="0"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5" fillId="0" borderId="2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13" fillId="0" borderId="24" xfId="0" applyFont="1" applyBorder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5" fillId="0" borderId="25" xfId="0" applyFont="1" applyBorder="1" applyAlignment="1">
      <alignment/>
    </xf>
    <xf numFmtId="0" fontId="15" fillId="35" borderId="25" xfId="0" applyFont="1" applyFill="1" applyBorder="1" applyAlignment="1">
      <alignment horizontal="center"/>
    </xf>
    <xf numFmtId="0" fontId="9" fillId="0" borderId="18" xfId="0" applyFont="1" applyBorder="1" applyAlignment="1">
      <alignment/>
    </xf>
    <xf numFmtId="173" fontId="9" fillId="0" borderId="0" xfId="0" applyNumberFormat="1" applyFont="1" applyAlignment="1">
      <alignment/>
    </xf>
    <xf numFmtId="164" fontId="4" fillId="0" borderId="0" xfId="0" applyNumberFormat="1" applyFont="1" applyFill="1" applyBorder="1" applyAlignment="1">
      <alignment/>
    </xf>
    <xf numFmtId="0" fontId="6" fillId="36" borderId="25" xfId="0" applyFont="1" applyFill="1" applyBorder="1" applyAlignment="1">
      <alignment horizontal="center" vertical="center" wrapText="1"/>
    </xf>
    <xf numFmtId="173" fontId="6" fillId="36" borderId="26" xfId="50" applyNumberFormat="1" applyFont="1" applyFill="1" applyBorder="1" applyAlignment="1">
      <alignment horizontal="center" vertical="center" wrapText="1"/>
    </xf>
    <xf numFmtId="173" fontId="6" fillId="36" borderId="27" xfId="50" applyNumberFormat="1" applyFont="1" applyFill="1" applyBorder="1" applyAlignment="1">
      <alignment horizontal="center" vertical="center" wrapText="1"/>
    </xf>
    <xf numFmtId="173" fontId="6" fillId="0" borderId="0" xfId="50" applyNumberFormat="1" applyFont="1" applyBorder="1" applyAlignment="1">
      <alignment horizontal="center" vertical="center" wrapText="1"/>
    </xf>
    <xf numFmtId="0" fontId="9" fillId="0" borderId="0" xfId="56" applyFont="1" applyAlignment="1">
      <alignment vertical="center"/>
      <protection/>
    </xf>
    <xf numFmtId="0" fontId="7" fillId="36" borderId="25" xfId="0" applyFont="1" applyFill="1" applyBorder="1" applyAlignment="1">
      <alignment horizontal="center" vertical="center"/>
    </xf>
    <xf numFmtId="0" fontId="8" fillId="36" borderId="25" xfId="0" applyFont="1" applyFill="1" applyBorder="1" applyAlignment="1">
      <alignment horizontal="center" vertical="center"/>
    </xf>
    <xf numFmtId="0" fontId="17" fillId="36" borderId="25" xfId="0" applyFont="1" applyFill="1" applyBorder="1" applyAlignment="1">
      <alignment vertical="center"/>
    </xf>
    <xf numFmtId="0" fontId="18" fillId="36" borderId="25" xfId="0" applyFont="1" applyFill="1" applyBorder="1" applyAlignment="1">
      <alignment horizontal="center" vertical="center"/>
    </xf>
    <xf numFmtId="0" fontId="9" fillId="0" borderId="0" xfId="56" applyFont="1" applyFill="1">
      <alignment/>
      <protection/>
    </xf>
    <xf numFmtId="0" fontId="7" fillId="0" borderId="25" xfId="0" applyFont="1" applyFill="1" applyBorder="1" applyAlignment="1">
      <alignment vertical="center"/>
    </xf>
    <xf numFmtId="0" fontId="11" fillId="0" borderId="25" xfId="0" applyFont="1" applyFill="1" applyBorder="1" applyAlignment="1">
      <alignment horizontal="center"/>
    </xf>
    <xf numFmtId="0" fontId="9" fillId="0" borderId="25" xfId="0" applyFont="1" applyFill="1" applyBorder="1" applyAlignment="1">
      <alignment/>
    </xf>
    <xf numFmtId="0" fontId="7" fillId="10" borderId="25" xfId="0" applyFont="1" applyFill="1" applyBorder="1" applyAlignment="1">
      <alignment horizontal="center" vertical="center"/>
    </xf>
    <xf numFmtId="168" fontId="11" fillId="10" borderId="25" xfId="50" applyFont="1" applyFill="1" applyBorder="1" applyAlignment="1">
      <alignment horizontal="center"/>
    </xf>
    <xf numFmtId="173" fontId="5" fillId="0" borderId="25" xfId="50" applyNumberFormat="1" applyFont="1" applyBorder="1" applyAlignment="1">
      <alignment/>
    </xf>
    <xf numFmtId="0" fontId="5" fillId="0" borderId="25" xfId="0" applyFont="1" applyFill="1" applyBorder="1" applyAlignment="1">
      <alignment horizontal="right"/>
    </xf>
    <xf numFmtId="173" fontId="5" fillId="0" borderId="25" xfId="50" applyNumberFormat="1" applyFont="1" applyFill="1" applyBorder="1" applyAlignment="1">
      <alignment/>
    </xf>
    <xf numFmtId="179" fontId="5" fillId="0" borderId="25" xfId="50" applyNumberFormat="1" applyFont="1" applyFill="1" applyBorder="1" applyAlignment="1">
      <alignment/>
    </xf>
    <xf numFmtId="0" fontId="5" fillId="0" borderId="25" xfId="0" applyFont="1" applyFill="1" applyBorder="1" applyAlignment="1">
      <alignment/>
    </xf>
    <xf numFmtId="0" fontId="5" fillId="0" borderId="25" xfId="0" applyFont="1" applyBorder="1" applyAlignment="1">
      <alignment vertical="center"/>
    </xf>
    <xf numFmtId="173" fontId="5" fillId="0" borderId="25" xfId="50" applyNumberFormat="1" applyFont="1" applyBorder="1" applyAlignment="1">
      <alignment vertical="center"/>
    </xf>
    <xf numFmtId="173" fontId="15" fillId="35" borderId="25" xfId="50" applyNumberFormat="1" applyFont="1" applyFill="1" applyBorder="1" applyAlignment="1">
      <alignment/>
    </xf>
    <xf numFmtId="173" fontId="5" fillId="37" borderId="25" xfId="50" applyNumberFormat="1" applyFont="1" applyFill="1" applyBorder="1" applyAlignment="1">
      <alignment/>
    </xf>
    <xf numFmtId="168" fontId="4" fillId="0" borderId="0" xfId="50" applyFont="1" applyAlignment="1">
      <alignment/>
    </xf>
    <xf numFmtId="0" fontId="6" fillId="36" borderId="27" xfId="0" applyFont="1" applyFill="1" applyBorder="1" applyAlignment="1">
      <alignment horizontal="center" vertical="center" wrapText="1"/>
    </xf>
    <xf numFmtId="174" fontId="4" fillId="0" borderId="0" xfId="0" applyNumberFormat="1" applyFont="1" applyFill="1" applyBorder="1" applyAlignment="1" applyProtection="1">
      <alignment/>
      <protection locked="0"/>
    </xf>
    <xf numFmtId="174" fontId="4" fillId="0" borderId="0" xfId="0" applyNumberFormat="1" applyFont="1" applyBorder="1" applyAlignment="1">
      <alignment/>
    </xf>
    <xf numFmtId="174" fontId="4" fillId="34" borderId="0" xfId="0" applyNumberFormat="1" applyFont="1" applyFill="1" applyBorder="1" applyAlignment="1">
      <alignment/>
    </xf>
    <xf numFmtId="174" fontId="4" fillId="0" borderId="0" xfId="0" applyNumberFormat="1" applyFont="1" applyFill="1" applyBorder="1" applyAlignment="1">
      <alignment/>
    </xf>
    <xf numFmtId="174" fontId="4" fillId="0" borderId="0" xfId="0" applyNumberFormat="1" applyFont="1" applyFill="1" applyBorder="1" applyAlignment="1" applyProtection="1">
      <alignment/>
      <protection/>
    </xf>
    <xf numFmtId="0" fontId="10" fillId="7" borderId="0" xfId="57" applyFont="1" applyFill="1">
      <alignment/>
      <protection/>
    </xf>
    <xf numFmtId="0" fontId="9" fillId="7" borderId="0" xfId="57" applyFont="1" applyFill="1">
      <alignment/>
      <protection/>
    </xf>
    <xf numFmtId="0" fontId="10" fillId="7" borderId="0" xfId="57" applyFont="1" applyFill="1" applyAlignment="1">
      <alignment/>
      <protection/>
    </xf>
    <xf numFmtId="0" fontId="9" fillId="7" borderId="0" xfId="57" applyFont="1" applyFill="1" applyAlignment="1">
      <alignment/>
      <protection/>
    </xf>
    <xf numFmtId="0" fontId="7" fillId="7" borderId="0" xfId="57" applyFont="1" applyFill="1" applyAlignment="1">
      <alignment/>
      <protection/>
    </xf>
    <xf numFmtId="10" fontId="4" fillId="0" borderId="0" xfId="0" applyNumberFormat="1" applyFont="1" applyBorder="1" applyAlignment="1">
      <alignment/>
    </xf>
    <xf numFmtId="10" fontId="4" fillId="34" borderId="0" xfId="0" applyNumberFormat="1" applyFont="1" applyFill="1" applyBorder="1" applyAlignment="1">
      <alignment/>
    </xf>
    <xf numFmtId="10" fontId="4" fillId="0" borderId="0" xfId="59" applyNumberFormat="1" applyFont="1" applyBorder="1" applyAlignment="1">
      <alignment/>
    </xf>
    <xf numFmtId="10" fontId="4" fillId="0" borderId="0" xfId="59" applyNumberFormat="1" applyFont="1" applyFill="1" applyBorder="1" applyAlignment="1">
      <alignment/>
    </xf>
    <xf numFmtId="10" fontId="4" fillId="0" borderId="0" xfId="0" applyNumberFormat="1" applyFont="1" applyFill="1" applyBorder="1" applyAlignment="1">
      <alignment/>
    </xf>
    <xf numFmtId="181" fontId="4" fillId="0" borderId="0" xfId="0" applyNumberFormat="1" applyFont="1" applyBorder="1" applyAlignment="1">
      <alignment/>
    </xf>
    <xf numFmtId="170" fontId="4" fillId="0" borderId="0" xfId="0" applyNumberFormat="1" applyFont="1" applyBorder="1" applyAlignment="1">
      <alignment/>
    </xf>
    <xf numFmtId="0" fontId="9" fillId="0" borderId="0" xfId="57" applyFont="1" applyAlignment="1">
      <alignment vertical="center"/>
      <protection/>
    </xf>
    <xf numFmtId="173" fontId="9" fillId="0" borderId="23" xfId="52" applyNumberFormat="1" applyFont="1" applyBorder="1" applyAlignment="1">
      <alignment/>
    </xf>
    <xf numFmtId="43" fontId="9" fillId="0" borderId="23" xfId="52" applyFont="1" applyBorder="1" applyAlignment="1">
      <alignment/>
    </xf>
    <xf numFmtId="43" fontId="9" fillId="0" borderId="23" xfId="52" applyFont="1" applyFill="1" applyBorder="1" applyAlignment="1">
      <alignment/>
    </xf>
    <xf numFmtId="173" fontId="7" fillId="0" borderId="23" xfId="52" applyNumberFormat="1" applyFont="1" applyBorder="1" applyAlignment="1">
      <alignment/>
    </xf>
    <xf numFmtId="37" fontId="7" fillId="0" borderId="23" xfId="57" applyNumberFormat="1" applyFont="1" applyBorder="1" applyAlignment="1">
      <alignment/>
      <protection/>
    </xf>
    <xf numFmtId="0" fontId="9" fillId="0" borderId="23" xfId="57" applyFont="1" applyBorder="1" applyAlignment="1">
      <alignment/>
      <protection/>
    </xf>
    <xf numFmtId="43" fontId="9" fillId="0" borderId="23" xfId="52" applyFont="1" applyBorder="1" applyAlignment="1">
      <alignment/>
    </xf>
    <xf numFmtId="0" fontId="4" fillId="36" borderId="28" xfId="0" applyFont="1" applyFill="1" applyBorder="1" applyAlignment="1">
      <alignment/>
    </xf>
    <xf numFmtId="0" fontId="4" fillId="36" borderId="29" xfId="0" applyFont="1" applyFill="1" applyBorder="1" applyAlignment="1">
      <alignment/>
    </xf>
    <xf numFmtId="0" fontId="4" fillId="36" borderId="30" xfId="0" applyFont="1" applyFill="1" applyBorder="1" applyAlignment="1">
      <alignment/>
    </xf>
    <xf numFmtId="0" fontId="6" fillId="36" borderId="0" xfId="0" applyFont="1" applyFill="1" applyBorder="1" applyAlignment="1">
      <alignment horizontal="center"/>
    </xf>
    <xf numFmtId="0" fontId="6" fillId="36" borderId="11" xfId="0" applyFont="1" applyFill="1" applyBorder="1" applyAlignment="1">
      <alignment horizontal="center"/>
    </xf>
    <xf numFmtId="0" fontId="6" fillId="36" borderId="31" xfId="0" applyFont="1" applyFill="1" applyBorder="1" applyAlignment="1">
      <alignment horizontal="left"/>
    </xf>
    <xf numFmtId="0" fontId="6" fillId="36" borderId="32" xfId="0" applyFont="1" applyFill="1" applyBorder="1" applyAlignment="1">
      <alignment horizontal="center"/>
    </xf>
    <xf numFmtId="0" fontId="6" fillId="36" borderId="33" xfId="0" applyFont="1" applyFill="1" applyBorder="1" applyAlignment="1">
      <alignment horizontal="center"/>
    </xf>
    <xf numFmtId="37" fontId="6" fillId="36" borderId="12" xfId="0" applyNumberFormat="1" applyFont="1" applyFill="1" applyBorder="1" applyAlignment="1">
      <alignment/>
    </xf>
    <xf numFmtId="172" fontId="6" fillId="36" borderId="13" xfId="0" applyNumberFormat="1" applyFont="1" applyFill="1" applyBorder="1" applyAlignment="1">
      <alignment/>
    </xf>
    <xf numFmtId="0" fontId="4" fillId="36" borderId="10" xfId="0" applyFont="1" applyFill="1" applyBorder="1" applyAlignment="1">
      <alignment/>
    </xf>
    <xf numFmtId="37" fontId="4" fillId="36" borderId="0" xfId="0" applyNumberFormat="1" applyFont="1" applyFill="1" applyBorder="1" applyAlignment="1">
      <alignment/>
    </xf>
    <xf numFmtId="176" fontId="4" fillId="36" borderId="11" xfId="0" applyNumberFormat="1" applyFont="1" applyFill="1" applyBorder="1" applyAlignment="1">
      <alignment/>
    </xf>
    <xf numFmtId="37" fontId="6" fillId="36" borderId="34" xfId="0" applyNumberFormat="1" applyFont="1" applyFill="1" applyBorder="1" applyAlignment="1">
      <alignment/>
    </xf>
    <xf numFmtId="176" fontId="6" fillId="36" borderId="35" xfId="0" applyNumberFormat="1" applyFont="1" applyFill="1" applyBorder="1" applyAlignment="1">
      <alignment/>
    </xf>
    <xf numFmtId="176" fontId="4" fillId="0" borderId="11" xfId="0" applyNumberFormat="1" applyFont="1" applyFill="1" applyBorder="1" applyAlignment="1">
      <alignment/>
    </xf>
    <xf numFmtId="0" fontId="7" fillId="36" borderId="36" xfId="0" applyFont="1" applyFill="1" applyBorder="1" applyAlignment="1">
      <alignment/>
    </xf>
    <xf numFmtId="176" fontId="6" fillId="36" borderId="13" xfId="0" applyNumberFormat="1" applyFont="1" applyFill="1" applyBorder="1" applyAlignment="1">
      <alignment/>
    </xf>
    <xf numFmtId="176" fontId="6" fillId="36" borderId="12" xfId="0" applyNumberFormat="1" applyFont="1" applyFill="1" applyBorder="1" applyAlignment="1">
      <alignment/>
    </xf>
    <xf numFmtId="0" fontId="6" fillId="36" borderId="15" xfId="0" applyFont="1" applyFill="1" applyBorder="1" applyAlignment="1">
      <alignment horizontal="center"/>
    </xf>
    <xf numFmtId="0" fontId="6" fillId="36" borderId="36" xfId="0" applyFont="1" applyFill="1" applyBorder="1" applyAlignment="1">
      <alignment horizontal="center"/>
    </xf>
    <xf numFmtId="0" fontId="6" fillId="36" borderId="10" xfId="0" applyFont="1" applyFill="1" applyBorder="1" applyAlignment="1">
      <alignment horizontal="center"/>
    </xf>
    <xf numFmtId="4" fontId="7" fillId="36" borderId="15" xfId="0" applyNumberFormat="1" applyFont="1" applyFill="1" applyBorder="1" applyAlignment="1">
      <alignment/>
    </xf>
    <xf numFmtId="37" fontId="7" fillId="36" borderId="12" xfId="0" applyNumberFormat="1" applyFont="1" applyFill="1" applyBorder="1" applyAlignment="1">
      <alignment horizontal="center" vertical="center"/>
    </xf>
    <xf numFmtId="37" fontId="7" fillId="36" borderId="12" xfId="0" applyNumberFormat="1" applyFont="1" applyFill="1" applyBorder="1" applyAlignment="1">
      <alignment horizontal="center" vertical="justify"/>
    </xf>
    <xf numFmtId="37" fontId="7" fillId="36" borderId="13" xfId="0" applyNumberFormat="1" applyFont="1" applyFill="1" applyBorder="1" applyAlignment="1">
      <alignment horizontal="centerContinuous" vertical="distributed"/>
    </xf>
    <xf numFmtId="4" fontId="6" fillId="36" borderId="15" xfId="0" applyNumberFormat="1" applyFont="1" applyFill="1" applyBorder="1" applyAlignment="1">
      <alignment/>
    </xf>
    <xf numFmtId="172" fontId="6" fillId="36" borderId="12" xfId="0" applyNumberFormat="1" applyFont="1" applyFill="1" applyBorder="1" applyAlignment="1">
      <alignment/>
    </xf>
    <xf numFmtId="4" fontId="6" fillId="36" borderId="16" xfId="0" applyNumberFormat="1" applyFont="1" applyFill="1" applyBorder="1" applyAlignment="1">
      <alignment/>
    </xf>
    <xf numFmtId="37" fontId="6" fillId="36" borderId="17" xfId="0" applyNumberFormat="1" applyFont="1" applyFill="1" applyBorder="1" applyAlignment="1">
      <alignment/>
    </xf>
    <xf numFmtId="164" fontId="6" fillId="36" borderId="17" xfId="0" applyNumberFormat="1" applyFont="1" applyFill="1" applyBorder="1" applyAlignment="1">
      <alignment/>
    </xf>
    <xf numFmtId="164" fontId="6" fillId="36" borderId="20" xfId="0" applyNumberFormat="1" applyFont="1" applyFill="1" applyBorder="1" applyAlignment="1">
      <alignment/>
    </xf>
    <xf numFmtId="4" fontId="6" fillId="38" borderId="15" xfId="0" applyNumberFormat="1" applyFont="1" applyFill="1" applyBorder="1" applyAlignment="1">
      <alignment/>
    </xf>
    <xf numFmtId="37" fontId="6" fillId="38" borderId="12" xfId="0" applyNumberFormat="1" applyFont="1" applyFill="1" applyBorder="1" applyAlignment="1">
      <alignment/>
    </xf>
    <xf numFmtId="172" fontId="6" fillId="38" borderId="12" xfId="0" applyNumberFormat="1" applyFont="1" applyFill="1" applyBorder="1" applyAlignment="1">
      <alignment/>
    </xf>
    <xf numFmtId="172" fontId="6" fillId="38" borderId="13" xfId="0" applyNumberFormat="1" applyFont="1" applyFill="1" applyBorder="1" applyAlignment="1">
      <alignment/>
    </xf>
    <xf numFmtId="37" fontId="9" fillId="0" borderId="0" xfId="57" applyNumberFormat="1" applyFont="1" applyBorder="1">
      <alignment/>
      <protection/>
    </xf>
    <xf numFmtId="0" fontId="7" fillId="36" borderId="12" xfId="0" applyFont="1" applyFill="1" applyBorder="1" applyAlignment="1">
      <alignment/>
    </xf>
    <xf numFmtId="37" fontId="7" fillId="36" borderId="12" xfId="0" applyNumberFormat="1" applyFont="1" applyFill="1" applyBorder="1" applyAlignment="1">
      <alignment/>
    </xf>
    <xf numFmtId="173" fontId="8" fillId="36" borderId="12" xfId="57" applyNumberFormat="1" applyFont="1" applyFill="1" applyBorder="1">
      <alignment/>
      <protection/>
    </xf>
    <xf numFmtId="0" fontId="7" fillId="38" borderId="12" xfId="0" applyFont="1" applyFill="1" applyBorder="1" applyAlignment="1">
      <alignment/>
    </xf>
    <xf numFmtId="37" fontId="7" fillId="38" borderId="12" xfId="0" applyNumberFormat="1" applyFont="1" applyFill="1" applyBorder="1" applyAlignment="1">
      <alignment/>
    </xf>
    <xf numFmtId="37" fontId="9" fillId="0" borderId="0" xfId="57" applyNumberFormat="1" applyFont="1" applyBorder="1" applyAlignment="1">
      <alignment/>
      <protection/>
    </xf>
    <xf numFmtId="37" fontId="19" fillId="0" borderId="0" xfId="57" applyNumberFormat="1" applyFont="1" applyAlignment="1">
      <alignment/>
      <protection/>
    </xf>
    <xf numFmtId="0" fontId="7" fillId="36" borderId="12" xfId="0" applyFont="1" applyFill="1" applyBorder="1" applyAlignment="1">
      <alignment/>
    </xf>
    <xf numFmtId="37" fontId="7" fillId="36" borderId="12" xfId="0" applyNumberFormat="1" applyFont="1" applyFill="1" applyBorder="1" applyAlignment="1">
      <alignment/>
    </xf>
    <xf numFmtId="176" fontId="7" fillId="36" borderId="37" xfId="0" applyNumberFormat="1" applyFont="1" applyFill="1" applyBorder="1" applyAlignment="1">
      <alignment/>
    </xf>
    <xf numFmtId="183" fontId="7" fillId="36" borderId="37" xfId="53" applyNumberFormat="1" applyFont="1" applyFill="1" applyBorder="1" applyAlignment="1">
      <alignment/>
    </xf>
    <xf numFmtId="0" fontId="7" fillId="38" borderId="0" xfId="57" applyFont="1" applyFill="1" applyAlignment="1">
      <alignment/>
      <protection/>
    </xf>
    <xf numFmtId="0" fontId="9" fillId="38" borderId="0" xfId="57" applyFont="1" applyFill="1" applyAlignment="1">
      <alignment/>
      <protection/>
    </xf>
    <xf numFmtId="43" fontId="9" fillId="38" borderId="0" xfId="52" applyFont="1" applyFill="1" applyAlignment="1">
      <alignment/>
    </xf>
    <xf numFmtId="0" fontId="7" fillId="38" borderId="12" xfId="0" applyFont="1" applyFill="1" applyBorder="1" applyAlignment="1">
      <alignment/>
    </xf>
    <xf numFmtId="37" fontId="7" fillId="38" borderId="12" xfId="0" applyNumberFormat="1" applyFont="1" applyFill="1" applyBorder="1" applyAlignment="1">
      <alignment/>
    </xf>
    <xf numFmtId="172" fontId="8" fillId="38" borderId="12" xfId="57" applyNumberFormat="1" applyFont="1" applyFill="1" applyBorder="1">
      <alignment/>
      <protection/>
    </xf>
    <xf numFmtId="183" fontId="8" fillId="36" borderId="12" xfId="53" applyNumberFormat="1" applyFont="1" applyFill="1" applyBorder="1" applyAlignment="1">
      <alignment/>
    </xf>
    <xf numFmtId="49" fontId="4" fillId="36" borderId="28" xfId="0" applyNumberFormat="1" applyFont="1" applyFill="1" applyBorder="1" applyAlignment="1">
      <alignment horizontal="center"/>
    </xf>
    <xf numFmtId="4" fontId="4" fillId="36" borderId="29" xfId="0" applyNumberFormat="1" applyFont="1" applyFill="1" applyBorder="1" applyAlignment="1">
      <alignment/>
    </xf>
    <xf numFmtId="37" fontId="4" fillId="36" borderId="29" xfId="0" applyNumberFormat="1" applyFont="1" applyFill="1" applyBorder="1" applyAlignment="1">
      <alignment/>
    </xf>
    <xf numFmtId="169" fontId="4" fillId="36" borderId="30" xfId="59" applyNumberFormat="1" applyFont="1" applyFill="1" applyBorder="1" applyAlignment="1">
      <alignment horizontal="right"/>
    </xf>
    <xf numFmtId="10" fontId="4" fillId="36" borderId="29" xfId="0" applyNumberFormat="1" applyFont="1" applyFill="1" applyBorder="1" applyAlignment="1">
      <alignment/>
    </xf>
    <xf numFmtId="10" fontId="4" fillId="36" borderId="30" xfId="59" applyNumberFormat="1" applyFont="1" applyFill="1" applyBorder="1" applyAlignment="1">
      <alignment/>
    </xf>
    <xf numFmtId="37" fontId="4" fillId="36" borderId="29" xfId="0" applyNumberFormat="1" applyFont="1" applyFill="1" applyBorder="1" applyAlignment="1" applyProtection="1">
      <alignment/>
      <protection locked="0"/>
    </xf>
    <xf numFmtId="164" fontId="4" fillId="36" borderId="29" xfId="0" applyNumberFormat="1" applyFont="1" applyFill="1" applyBorder="1" applyAlignment="1" applyProtection="1">
      <alignment/>
      <protection locked="0"/>
    </xf>
    <xf numFmtId="9" fontId="4" fillId="36" borderId="30" xfId="59" applyFont="1" applyFill="1" applyBorder="1" applyAlignment="1" applyProtection="1">
      <alignment horizontal="center"/>
      <protection locked="0"/>
    </xf>
    <xf numFmtId="4" fontId="4" fillId="4" borderId="0" xfId="0" applyNumberFormat="1" applyFont="1" applyFill="1" applyBorder="1" applyAlignment="1">
      <alignment/>
    </xf>
    <xf numFmtId="3" fontId="4" fillId="4" borderId="0" xfId="0" applyNumberFormat="1" applyFont="1" applyFill="1" applyBorder="1" applyAlignment="1" applyProtection="1">
      <alignment/>
      <protection locked="0"/>
    </xf>
    <xf numFmtId="0" fontId="4" fillId="4" borderId="0" xfId="0" applyFont="1" applyFill="1" applyBorder="1" applyAlignment="1">
      <alignment/>
    </xf>
    <xf numFmtId="4" fontId="5" fillId="4" borderId="0" xfId="0" applyNumberFormat="1" applyFont="1" applyFill="1" applyBorder="1" applyAlignment="1" applyProtection="1">
      <alignment horizontal="center"/>
      <protection locked="0"/>
    </xf>
    <xf numFmtId="4" fontId="7" fillId="4" borderId="16" xfId="0" applyNumberFormat="1" applyFont="1" applyFill="1" applyBorder="1" applyAlignment="1">
      <alignment horizontal="center" vertical="center" wrapText="1"/>
    </xf>
    <xf numFmtId="4" fontId="7" fillId="4" borderId="17" xfId="0" applyNumberFormat="1" applyFont="1" applyFill="1" applyBorder="1" applyAlignment="1">
      <alignment horizontal="center" vertical="center" wrapText="1"/>
    </xf>
    <xf numFmtId="3" fontId="7" fillId="4" borderId="17" xfId="0" applyNumberFormat="1" applyFont="1" applyFill="1" applyBorder="1" applyAlignment="1" applyProtection="1">
      <alignment horizontal="center" vertical="center" wrapText="1"/>
      <protection locked="0"/>
    </xf>
    <xf numFmtId="9" fontId="16" fillId="4" borderId="20" xfId="59" applyNumberFormat="1" applyFont="1" applyFill="1" applyBorder="1" applyAlignment="1">
      <alignment horizontal="center" vertical="center" wrapText="1"/>
    </xf>
    <xf numFmtId="0" fontId="4" fillId="4" borderId="0" xfId="0" applyFont="1" applyFill="1" applyAlignment="1">
      <alignment/>
    </xf>
    <xf numFmtId="4" fontId="8" fillId="4" borderId="16" xfId="0" applyNumberFormat="1" applyFont="1" applyFill="1" applyBorder="1" applyAlignment="1">
      <alignment horizontal="center" vertical="center" wrapText="1"/>
    </xf>
    <xf numFmtId="4" fontId="8" fillId="4" borderId="17" xfId="0" applyNumberFormat="1" applyFont="1" applyFill="1" applyBorder="1" applyAlignment="1">
      <alignment horizontal="center" vertical="center" wrapText="1"/>
    </xf>
    <xf numFmtId="4" fontId="18" fillId="4" borderId="17" xfId="0" applyNumberFormat="1" applyFont="1" applyFill="1" applyBorder="1" applyAlignment="1">
      <alignment horizontal="center" vertical="center" wrapText="1"/>
    </xf>
    <xf numFmtId="49" fontId="4" fillId="36" borderId="10" xfId="0" applyNumberFormat="1" applyFont="1" applyFill="1" applyBorder="1" applyAlignment="1">
      <alignment horizontal="center"/>
    </xf>
    <xf numFmtId="4" fontId="4" fillId="36" borderId="0" xfId="0" applyNumberFormat="1" applyFont="1" applyFill="1" applyBorder="1" applyAlignment="1">
      <alignment/>
    </xf>
    <xf numFmtId="169" fontId="4" fillId="36" borderId="11" xfId="59" applyNumberFormat="1" applyFont="1" applyFill="1" applyBorder="1" applyAlignment="1">
      <alignment horizontal="right"/>
    </xf>
    <xf numFmtId="10" fontId="4" fillId="36" borderId="0" xfId="0" applyNumberFormat="1" applyFont="1" applyFill="1" applyBorder="1" applyAlignment="1">
      <alignment/>
    </xf>
    <xf numFmtId="10" fontId="4" fillId="36" borderId="11" xfId="59" applyNumberFormat="1" applyFont="1" applyFill="1" applyBorder="1" applyAlignment="1">
      <alignment/>
    </xf>
    <xf numFmtId="37" fontId="4" fillId="36" borderId="0" xfId="0" applyNumberFormat="1" applyFont="1" applyFill="1" applyBorder="1" applyAlignment="1" applyProtection="1">
      <alignment/>
      <protection locked="0"/>
    </xf>
    <xf numFmtId="164" fontId="4" fillId="36" borderId="0" xfId="0" applyNumberFormat="1" applyFont="1" applyFill="1" applyBorder="1" applyAlignment="1" applyProtection="1">
      <alignment/>
      <protection locked="0"/>
    </xf>
    <xf numFmtId="9" fontId="4" fillId="36" borderId="11" xfId="59" applyFont="1" applyFill="1" applyBorder="1" applyAlignment="1" applyProtection="1">
      <alignment horizontal="center"/>
      <protection locked="0"/>
    </xf>
    <xf numFmtId="49" fontId="5" fillId="4" borderId="15" xfId="0" applyNumberFormat="1" applyFont="1" applyFill="1" applyBorder="1" applyAlignment="1">
      <alignment horizontal="center"/>
    </xf>
    <xf numFmtId="4" fontId="5" fillId="4" borderId="12" xfId="0" applyNumberFormat="1" applyFont="1" applyFill="1" applyBorder="1" applyAlignment="1">
      <alignment/>
    </xf>
    <xf numFmtId="37" fontId="5" fillId="4" borderId="12" xfId="0" applyNumberFormat="1" applyFont="1" applyFill="1" applyBorder="1" applyAlignment="1" applyProtection="1">
      <alignment/>
      <protection locked="0"/>
    </xf>
    <xf numFmtId="9" fontId="5" fillId="4" borderId="13" xfId="59" applyFont="1" applyFill="1" applyBorder="1" applyAlignment="1" applyProtection="1">
      <alignment horizontal="right"/>
      <protection locked="0"/>
    </xf>
    <xf numFmtId="169" fontId="5" fillId="4" borderId="12" xfId="0" applyNumberFormat="1" applyFont="1" applyFill="1" applyBorder="1" applyAlignment="1">
      <alignment/>
    </xf>
    <xf numFmtId="10" fontId="5" fillId="4" borderId="13" xfId="59" applyNumberFormat="1" applyFont="1" applyFill="1" applyBorder="1" applyAlignment="1">
      <alignment/>
    </xf>
    <xf numFmtId="172" fontId="6" fillId="4" borderId="12" xfId="0" applyNumberFormat="1" applyFont="1" applyFill="1" applyBorder="1" applyAlignment="1" applyProtection="1">
      <alignment/>
      <protection locked="0"/>
    </xf>
    <xf numFmtId="164" fontId="5" fillId="4" borderId="12" xfId="0" applyNumberFormat="1" applyFont="1" applyFill="1" applyBorder="1" applyAlignment="1" applyProtection="1">
      <alignment/>
      <protection/>
    </xf>
    <xf numFmtId="9" fontId="5" fillId="4" borderId="13" xfId="59" applyNumberFormat="1" applyFont="1" applyFill="1" applyBorder="1" applyAlignment="1">
      <alignment horizontal="center"/>
    </xf>
    <xf numFmtId="4" fontId="5" fillId="4" borderId="12" xfId="0" applyNumberFormat="1" applyFont="1" applyFill="1" applyBorder="1" applyAlignment="1">
      <alignment horizontal="center"/>
    </xf>
    <xf numFmtId="4" fontId="18" fillId="4" borderId="16" xfId="0" applyNumberFormat="1" applyFont="1" applyFill="1" applyBorder="1" applyAlignment="1">
      <alignment horizontal="center" vertical="center" wrapText="1"/>
    </xf>
    <xf numFmtId="172" fontId="5" fillId="4" borderId="12" xfId="0" applyNumberFormat="1" applyFont="1" applyFill="1" applyBorder="1" applyAlignment="1" applyProtection="1">
      <alignment/>
      <protection locked="0"/>
    </xf>
    <xf numFmtId="164" fontId="4" fillId="36" borderId="0" xfId="0" applyNumberFormat="1" applyFont="1" applyFill="1" applyBorder="1" applyAlignment="1">
      <alignment/>
    </xf>
    <xf numFmtId="173" fontId="5" fillId="36" borderId="38" xfId="50" applyNumberFormat="1" applyFont="1" applyFill="1" applyBorder="1" applyAlignment="1">
      <alignment horizontal="center" vertical="center" wrapText="1"/>
    </xf>
    <xf numFmtId="173" fontId="5" fillId="36" borderId="26" xfId="50" applyNumberFormat="1" applyFont="1" applyFill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42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49" fontId="5" fillId="4" borderId="16" xfId="0" applyNumberFormat="1" applyFont="1" applyFill="1" applyBorder="1" applyAlignment="1">
      <alignment horizontal="center"/>
    </xf>
    <xf numFmtId="49" fontId="5" fillId="4" borderId="17" xfId="0" applyNumberFormat="1" applyFont="1" applyFill="1" applyBorder="1" applyAlignment="1">
      <alignment horizontal="center"/>
    </xf>
    <xf numFmtId="4" fontId="5" fillId="4" borderId="39" xfId="0" applyNumberFormat="1" applyFont="1" applyFill="1" applyBorder="1" applyAlignment="1" applyProtection="1">
      <alignment horizontal="center"/>
      <protection locked="0"/>
    </xf>
    <xf numFmtId="4" fontId="5" fillId="4" borderId="40" xfId="0" applyNumberFormat="1" applyFont="1" applyFill="1" applyBorder="1" applyAlignment="1" applyProtection="1">
      <alignment horizontal="center"/>
      <protection locked="0"/>
    </xf>
    <xf numFmtId="4" fontId="5" fillId="4" borderId="41" xfId="0" applyNumberFormat="1" applyFont="1" applyFill="1" applyBorder="1" applyAlignment="1" applyProtection="1">
      <alignment horizontal="center"/>
      <protection locked="0"/>
    </xf>
    <xf numFmtId="4" fontId="12" fillId="4" borderId="22" xfId="0" applyNumberFormat="1" applyFont="1" applyFill="1" applyBorder="1" applyAlignment="1" applyProtection="1">
      <alignment horizontal="center"/>
      <protection locked="0"/>
    </xf>
    <xf numFmtId="4" fontId="12" fillId="4" borderId="0" xfId="0" applyNumberFormat="1" applyFont="1" applyFill="1" applyBorder="1" applyAlignment="1" applyProtection="1">
      <alignment horizontal="center"/>
      <protection locked="0"/>
    </xf>
    <xf numFmtId="4" fontId="12" fillId="4" borderId="23" xfId="0" applyNumberFormat="1" applyFont="1" applyFill="1" applyBorder="1" applyAlignment="1" applyProtection="1">
      <alignment horizontal="center"/>
      <protection locked="0"/>
    </xf>
    <xf numFmtId="49" fontId="5" fillId="4" borderId="42" xfId="0" applyNumberFormat="1" applyFont="1" applyFill="1" applyBorder="1" applyAlignment="1" applyProtection="1">
      <alignment horizontal="center"/>
      <protection locked="0"/>
    </xf>
    <xf numFmtId="49" fontId="5" fillId="4" borderId="19" xfId="0" applyNumberFormat="1" applyFont="1" applyFill="1" applyBorder="1" applyAlignment="1" applyProtection="1">
      <alignment horizontal="center"/>
      <protection locked="0"/>
    </xf>
    <xf numFmtId="49" fontId="5" fillId="4" borderId="24" xfId="0" applyNumberFormat="1" applyFont="1" applyFill="1" applyBorder="1" applyAlignment="1" applyProtection="1">
      <alignment horizontal="center"/>
      <protection locked="0"/>
    </xf>
    <xf numFmtId="4" fontId="6" fillId="4" borderId="39" xfId="0" applyNumberFormat="1" applyFont="1" applyFill="1" applyBorder="1" applyAlignment="1" applyProtection="1">
      <alignment horizontal="center"/>
      <protection locked="0"/>
    </xf>
    <xf numFmtId="4" fontId="6" fillId="4" borderId="40" xfId="0" applyNumberFormat="1" applyFont="1" applyFill="1" applyBorder="1" applyAlignment="1" applyProtection="1">
      <alignment horizontal="center"/>
      <protection locked="0"/>
    </xf>
    <xf numFmtId="4" fontId="6" fillId="4" borderId="41" xfId="0" applyNumberFormat="1" applyFont="1" applyFill="1" applyBorder="1" applyAlignment="1" applyProtection="1">
      <alignment horizontal="center"/>
      <protection locked="0"/>
    </xf>
    <xf numFmtId="4" fontId="12" fillId="4" borderId="28" xfId="0" applyNumberFormat="1" applyFont="1" applyFill="1" applyBorder="1" applyAlignment="1" applyProtection="1">
      <alignment horizontal="center"/>
      <protection locked="0"/>
    </xf>
    <xf numFmtId="4" fontId="12" fillId="4" borderId="29" xfId="0" applyNumberFormat="1" applyFont="1" applyFill="1" applyBorder="1" applyAlignment="1" applyProtection="1">
      <alignment horizontal="center"/>
      <protection locked="0"/>
    </xf>
    <xf numFmtId="4" fontId="12" fillId="4" borderId="30" xfId="0" applyNumberFormat="1" applyFont="1" applyFill="1" applyBorder="1" applyAlignment="1" applyProtection="1">
      <alignment horizontal="center"/>
      <protection locked="0"/>
    </xf>
    <xf numFmtId="4" fontId="12" fillId="4" borderId="10" xfId="0" applyNumberFormat="1" applyFont="1" applyFill="1" applyBorder="1" applyAlignment="1" applyProtection="1">
      <alignment horizontal="center"/>
      <protection locked="0"/>
    </xf>
    <xf numFmtId="4" fontId="12" fillId="4" borderId="11" xfId="0" applyNumberFormat="1" applyFont="1" applyFill="1" applyBorder="1" applyAlignment="1" applyProtection="1">
      <alignment horizontal="center"/>
      <protection locked="0"/>
    </xf>
    <xf numFmtId="0" fontId="12" fillId="4" borderId="22" xfId="0" applyFont="1" applyFill="1" applyBorder="1" applyAlignment="1">
      <alignment horizontal="center"/>
    </xf>
    <xf numFmtId="0" fontId="12" fillId="4" borderId="0" xfId="0" applyFont="1" applyFill="1" applyBorder="1" applyAlignment="1">
      <alignment horizontal="center"/>
    </xf>
    <xf numFmtId="0" fontId="12" fillId="4" borderId="23" xfId="0" applyFont="1" applyFill="1" applyBorder="1" applyAlignment="1">
      <alignment horizontal="center"/>
    </xf>
    <xf numFmtId="49" fontId="6" fillId="4" borderId="42" xfId="0" applyNumberFormat="1" applyFont="1" applyFill="1" applyBorder="1" applyAlignment="1" applyProtection="1">
      <alignment horizontal="center"/>
      <protection locked="0"/>
    </xf>
    <xf numFmtId="49" fontId="6" fillId="4" borderId="19" xfId="0" applyNumberFormat="1" applyFont="1" applyFill="1" applyBorder="1" applyAlignment="1" applyProtection="1">
      <alignment horizontal="center"/>
      <protection locked="0"/>
    </xf>
    <xf numFmtId="49" fontId="6" fillId="4" borderId="24" xfId="0" applyNumberFormat="1" applyFont="1" applyFill="1" applyBorder="1" applyAlignment="1" applyProtection="1">
      <alignment horizontal="center"/>
      <protection locked="0"/>
    </xf>
    <xf numFmtId="37" fontId="8" fillId="33" borderId="39" xfId="0" applyNumberFormat="1" applyFont="1" applyFill="1" applyBorder="1" applyAlignment="1">
      <alignment horizontal="center"/>
    </xf>
    <xf numFmtId="37" fontId="8" fillId="33" borderId="41" xfId="0" applyNumberFormat="1" applyFont="1" applyFill="1" applyBorder="1" applyAlignment="1">
      <alignment horizontal="center"/>
    </xf>
    <xf numFmtId="4" fontId="7" fillId="4" borderId="31" xfId="0" applyNumberFormat="1" applyFont="1" applyFill="1" applyBorder="1" applyAlignment="1">
      <alignment horizontal="center" vertical="center" wrapText="1"/>
    </xf>
    <xf numFmtId="4" fontId="7" fillId="4" borderId="33" xfId="0" applyNumberFormat="1" applyFont="1" applyFill="1" applyBorder="1" applyAlignment="1">
      <alignment horizontal="center" vertical="center" wrapText="1"/>
    </xf>
    <xf numFmtId="49" fontId="5" fillId="4" borderId="31" xfId="0" applyNumberFormat="1" applyFont="1" applyFill="1" applyBorder="1" applyAlignment="1" applyProtection="1">
      <alignment horizontal="center"/>
      <protection locked="0"/>
    </xf>
    <xf numFmtId="49" fontId="5" fillId="4" borderId="32" xfId="0" applyNumberFormat="1" applyFont="1" applyFill="1" applyBorder="1" applyAlignment="1" applyProtection="1">
      <alignment horizontal="center"/>
      <protection locked="0"/>
    </xf>
    <xf numFmtId="49" fontId="5" fillId="4" borderId="33" xfId="0" applyNumberFormat="1" applyFont="1" applyFill="1" applyBorder="1" applyAlignment="1" applyProtection="1">
      <alignment horizontal="center"/>
      <protection locked="0"/>
    </xf>
    <xf numFmtId="4" fontId="6" fillId="4" borderId="39" xfId="0" applyNumberFormat="1" applyFont="1" applyFill="1" applyBorder="1" applyAlignment="1" applyProtection="1">
      <alignment horizontal="center" vertical="center"/>
      <protection locked="0"/>
    </xf>
    <xf numFmtId="4" fontId="6" fillId="4" borderId="40" xfId="0" applyNumberFormat="1" applyFont="1" applyFill="1" applyBorder="1" applyAlignment="1" applyProtection="1">
      <alignment horizontal="center" vertical="center"/>
      <protection locked="0"/>
    </xf>
    <xf numFmtId="0" fontId="5" fillId="36" borderId="43" xfId="0" applyFont="1" applyFill="1" applyBorder="1" applyAlignment="1">
      <alignment horizontal="center"/>
    </xf>
    <xf numFmtId="0" fontId="5" fillId="36" borderId="18" xfId="0" applyFont="1" applyFill="1" applyBorder="1" applyAlignment="1">
      <alignment horizontal="center"/>
    </xf>
    <xf numFmtId="0" fontId="5" fillId="36" borderId="44" xfId="0" applyFont="1" applyFill="1" applyBorder="1" applyAlignment="1">
      <alignment horizontal="center"/>
    </xf>
    <xf numFmtId="0" fontId="5" fillId="36" borderId="45" xfId="0" applyFont="1" applyFill="1" applyBorder="1" applyAlignment="1">
      <alignment horizontal="center"/>
    </xf>
    <xf numFmtId="0" fontId="5" fillId="36" borderId="0" xfId="0" applyFont="1" applyFill="1" applyBorder="1" applyAlignment="1">
      <alignment horizontal="center"/>
    </xf>
    <xf numFmtId="0" fontId="5" fillId="36" borderId="46" xfId="0" applyFont="1" applyFill="1" applyBorder="1" applyAlignment="1">
      <alignment horizontal="center"/>
    </xf>
    <xf numFmtId="49" fontId="6" fillId="36" borderId="47" xfId="0" applyNumberFormat="1" applyFont="1" applyFill="1" applyBorder="1" applyAlignment="1">
      <alignment horizontal="center"/>
    </xf>
    <xf numFmtId="49" fontId="6" fillId="36" borderId="14" xfId="0" applyNumberFormat="1" applyFont="1" applyFill="1" applyBorder="1" applyAlignment="1">
      <alignment horizontal="center"/>
    </xf>
    <xf numFmtId="49" fontId="6" fillId="36" borderId="48" xfId="0" applyNumberFormat="1" applyFont="1" applyFill="1" applyBorder="1" applyAlignment="1">
      <alignment horizontal="center"/>
    </xf>
    <xf numFmtId="0" fontId="6" fillId="36" borderId="0" xfId="0" applyFont="1" applyFill="1" applyBorder="1" applyAlignment="1">
      <alignment horizontal="center"/>
    </xf>
    <xf numFmtId="4" fontId="6" fillId="34" borderId="39" xfId="0" applyNumberFormat="1" applyFont="1" applyFill="1" applyBorder="1" applyAlignment="1">
      <alignment horizontal="center"/>
    </xf>
    <xf numFmtId="4" fontId="6" fillId="34" borderId="40" xfId="0" applyNumberFormat="1" applyFont="1" applyFill="1" applyBorder="1" applyAlignment="1">
      <alignment horizontal="center"/>
    </xf>
    <xf numFmtId="4" fontId="6" fillId="34" borderId="41" xfId="0" applyNumberFormat="1" applyFont="1" applyFill="1" applyBorder="1" applyAlignment="1">
      <alignment horizontal="center"/>
    </xf>
    <xf numFmtId="4" fontId="6" fillId="34" borderId="22" xfId="0" applyNumberFormat="1" applyFont="1" applyFill="1" applyBorder="1" applyAlignment="1">
      <alignment horizontal="center"/>
    </xf>
    <xf numFmtId="4" fontId="6" fillId="34" borderId="0" xfId="0" applyNumberFormat="1" applyFont="1" applyFill="1" applyBorder="1" applyAlignment="1">
      <alignment horizontal="center"/>
    </xf>
    <xf numFmtId="4" fontId="6" fillId="34" borderId="23" xfId="0" applyNumberFormat="1" applyFont="1" applyFill="1" applyBorder="1" applyAlignment="1">
      <alignment horizontal="center"/>
    </xf>
    <xf numFmtId="4" fontId="6" fillId="34" borderId="42" xfId="0" applyNumberFormat="1" applyFont="1" applyFill="1" applyBorder="1" applyAlignment="1">
      <alignment horizontal="center"/>
    </xf>
    <xf numFmtId="4" fontId="6" fillId="34" borderId="19" xfId="0" applyNumberFormat="1" applyFont="1" applyFill="1" applyBorder="1" applyAlignment="1">
      <alignment horizontal="center"/>
    </xf>
    <xf numFmtId="4" fontId="6" fillId="34" borderId="24" xfId="0" applyNumberFormat="1" applyFont="1" applyFill="1" applyBorder="1" applyAlignment="1">
      <alignment horizontal="center"/>
    </xf>
    <xf numFmtId="4" fontId="6" fillId="36" borderId="39" xfId="0" applyNumberFormat="1" applyFont="1" applyFill="1" applyBorder="1" applyAlignment="1">
      <alignment horizontal="center"/>
    </xf>
    <xf numFmtId="4" fontId="6" fillId="36" borderId="40" xfId="0" applyNumberFormat="1" applyFont="1" applyFill="1" applyBorder="1" applyAlignment="1">
      <alignment horizontal="center"/>
    </xf>
    <xf numFmtId="4" fontId="6" fillId="36" borderId="41" xfId="0" applyNumberFormat="1" applyFont="1" applyFill="1" applyBorder="1" applyAlignment="1">
      <alignment horizontal="center"/>
    </xf>
    <xf numFmtId="4" fontId="6" fillId="36" borderId="22" xfId="0" applyNumberFormat="1" applyFont="1" applyFill="1" applyBorder="1" applyAlignment="1">
      <alignment horizontal="center"/>
    </xf>
    <xf numFmtId="4" fontId="6" fillId="36" borderId="0" xfId="0" applyNumberFormat="1" applyFont="1" applyFill="1" applyBorder="1" applyAlignment="1">
      <alignment horizontal="center"/>
    </xf>
    <xf numFmtId="4" fontId="6" fillId="36" borderId="23" xfId="0" applyNumberFormat="1" applyFont="1" applyFill="1" applyBorder="1" applyAlignment="1">
      <alignment horizontal="center"/>
    </xf>
    <xf numFmtId="4" fontId="6" fillId="36" borderId="42" xfId="0" applyNumberFormat="1" applyFont="1" applyFill="1" applyBorder="1" applyAlignment="1">
      <alignment horizontal="center"/>
    </xf>
    <xf numFmtId="4" fontId="6" fillId="36" borderId="19" xfId="0" applyNumberFormat="1" applyFont="1" applyFill="1" applyBorder="1" applyAlignment="1">
      <alignment horizontal="center"/>
    </xf>
    <xf numFmtId="4" fontId="6" fillId="36" borderId="24" xfId="0" applyNumberFormat="1" applyFont="1" applyFill="1" applyBorder="1" applyAlignment="1">
      <alignment horizontal="center"/>
    </xf>
    <xf numFmtId="0" fontId="5" fillId="36" borderId="39" xfId="0" applyFont="1" applyFill="1" applyBorder="1" applyAlignment="1">
      <alignment horizontal="center" vertical="center" wrapText="1"/>
    </xf>
    <xf numFmtId="0" fontId="5" fillId="36" borderId="40" xfId="0" applyFont="1" applyFill="1" applyBorder="1" applyAlignment="1">
      <alignment horizontal="center" vertical="center" wrapText="1"/>
    </xf>
    <xf numFmtId="0" fontId="5" fillId="36" borderId="41" xfId="0" applyFont="1" applyFill="1" applyBorder="1" applyAlignment="1">
      <alignment horizontal="center" vertical="center" wrapText="1"/>
    </xf>
    <xf numFmtId="0" fontId="6" fillId="36" borderId="22" xfId="0" applyFont="1" applyFill="1" applyBorder="1" applyAlignment="1">
      <alignment horizontal="center"/>
    </xf>
    <xf numFmtId="0" fontId="6" fillId="36" borderId="23" xfId="0" applyFont="1" applyFill="1" applyBorder="1" applyAlignment="1">
      <alignment horizontal="center"/>
    </xf>
    <xf numFmtId="0" fontId="6" fillId="36" borderId="42" xfId="0" applyFont="1" applyFill="1" applyBorder="1" applyAlignment="1">
      <alignment horizontal="center"/>
    </xf>
    <xf numFmtId="0" fontId="6" fillId="36" borderId="19" xfId="0" applyFont="1" applyFill="1" applyBorder="1" applyAlignment="1">
      <alignment horizontal="center"/>
    </xf>
    <xf numFmtId="0" fontId="6" fillId="36" borderId="24" xfId="0" applyFont="1" applyFill="1" applyBorder="1" applyAlignment="1">
      <alignment horizontal="center"/>
    </xf>
    <xf numFmtId="0" fontId="7" fillId="38" borderId="12" xfId="0" applyFont="1" applyFill="1" applyBorder="1" applyAlignment="1">
      <alignment horizontal="left"/>
    </xf>
    <xf numFmtId="0" fontId="5" fillId="36" borderId="39" xfId="0" applyFont="1" applyFill="1" applyBorder="1" applyAlignment="1">
      <alignment horizontal="center"/>
    </xf>
    <xf numFmtId="0" fontId="5" fillId="36" borderId="40" xfId="0" applyFont="1" applyFill="1" applyBorder="1" applyAlignment="1">
      <alignment horizontal="center"/>
    </xf>
    <xf numFmtId="0" fontId="5" fillId="36" borderId="41" xfId="0" applyFont="1" applyFill="1" applyBorder="1" applyAlignment="1">
      <alignment horizontal="center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Millares 3" xfId="51"/>
    <cellStyle name="Millares_INFORME EDOS. FINANCIEROS 2004" xfId="52"/>
    <cellStyle name="Currency" xfId="53"/>
    <cellStyle name="Currency [0]" xfId="54"/>
    <cellStyle name="Neutral" xfId="55"/>
    <cellStyle name="Normal_CAPITULO1000PRESUP2008 APROB(1).PLENO 31-ENE-2008" xfId="56"/>
    <cellStyle name="Normal_INFORME EDOS. FINANCIEROS 2004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44"/>
  <sheetViews>
    <sheetView zoomScalePageLayoutView="0" workbookViewId="0" topLeftCell="N21">
      <selection activeCell="S12" sqref="S12"/>
    </sheetView>
  </sheetViews>
  <sheetFormatPr defaultColWidth="11.00390625" defaultRowHeight="15.75"/>
  <cols>
    <col min="2" max="2" width="21.50390625" style="0" bestFit="1" customWidth="1"/>
    <col min="3" max="5" width="21.625" style="0" bestFit="1" customWidth="1"/>
    <col min="6" max="6" width="24.125" style="0" customWidth="1"/>
    <col min="8" max="8" width="15.625" style="0" customWidth="1"/>
    <col min="9" max="9" width="21.75390625" style="0" customWidth="1"/>
    <col min="10" max="10" width="22.375" style="0" customWidth="1"/>
    <col min="11" max="11" width="22.125" style="0" customWidth="1"/>
    <col min="12" max="12" width="19.00390625" style="0" customWidth="1"/>
    <col min="14" max="14" width="15.375" style="0" bestFit="1" customWidth="1"/>
    <col min="15" max="18" width="22.50390625" style="0" customWidth="1"/>
  </cols>
  <sheetData>
    <row r="1" ht="16.5" thickBot="1"/>
    <row r="2" spans="2:18" s="154" customFormat="1" ht="18" customHeight="1">
      <c r="B2" s="329" t="s">
        <v>197</v>
      </c>
      <c r="C2" s="330"/>
      <c r="D2" s="330"/>
      <c r="E2" s="330"/>
      <c r="F2" s="331"/>
      <c r="H2" s="329" t="s">
        <v>197</v>
      </c>
      <c r="I2" s="330"/>
      <c r="J2" s="330"/>
      <c r="K2" s="330"/>
      <c r="L2" s="331"/>
      <c r="N2" s="329" t="s">
        <v>197</v>
      </c>
      <c r="O2" s="330"/>
      <c r="P2" s="330"/>
      <c r="Q2" s="330"/>
      <c r="R2" s="331"/>
    </row>
    <row r="3" spans="2:18" s="154" customFormat="1" ht="18" customHeight="1">
      <c r="B3" s="332"/>
      <c r="C3" s="333"/>
      <c r="D3" s="333"/>
      <c r="E3" s="333"/>
      <c r="F3" s="334"/>
      <c r="H3" s="169"/>
      <c r="I3" s="170"/>
      <c r="J3" s="170"/>
      <c r="K3" s="170"/>
      <c r="L3" s="171"/>
      <c r="N3" s="169"/>
      <c r="O3" s="170"/>
      <c r="P3" s="170"/>
      <c r="Q3" s="170"/>
      <c r="R3" s="171"/>
    </row>
    <row r="4" spans="2:18" s="154" customFormat="1" ht="21" customHeight="1" thickBot="1">
      <c r="B4" s="335" t="s">
        <v>264</v>
      </c>
      <c r="C4" s="336"/>
      <c r="D4" s="336"/>
      <c r="E4" s="336"/>
      <c r="F4" s="337"/>
      <c r="H4" s="335" t="s">
        <v>265</v>
      </c>
      <c r="I4" s="336"/>
      <c r="J4" s="336"/>
      <c r="K4" s="336"/>
      <c r="L4" s="337"/>
      <c r="N4" s="335" t="s">
        <v>265</v>
      </c>
      <c r="O4" s="336"/>
      <c r="P4" s="336"/>
      <c r="Q4" s="336"/>
      <c r="R4" s="337"/>
    </row>
    <row r="5" spans="2:18" s="154" customFormat="1" ht="14.25" customHeight="1" thickBot="1">
      <c r="B5" s="167"/>
      <c r="C5" s="168"/>
      <c r="D5" s="168"/>
      <c r="E5" s="168"/>
      <c r="F5" s="168"/>
      <c r="H5" s="167"/>
      <c r="I5" s="168"/>
      <c r="J5" s="168"/>
      <c r="K5" s="168"/>
      <c r="L5" s="168"/>
      <c r="N5" s="167"/>
      <c r="O5" s="168"/>
      <c r="P5" s="168"/>
      <c r="Q5" s="168"/>
      <c r="R5" s="168"/>
    </row>
    <row r="6" spans="2:18" s="154" customFormat="1" ht="19.5" customHeight="1" thickBot="1">
      <c r="B6" s="172"/>
      <c r="C6" s="327"/>
      <c r="D6" s="327"/>
      <c r="E6" s="327"/>
      <c r="F6" s="328"/>
      <c r="H6" s="172"/>
      <c r="I6" s="327"/>
      <c r="J6" s="327"/>
      <c r="K6" s="327"/>
      <c r="L6" s="328"/>
      <c r="N6" s="172"/>
      <c r="O6" s="327"/>
      <c r="P6" s="327"/>
      <c r="Q6" s="327"/>
      <c r="R6" s="328"/>
    </row>
    <row r="7" spans="1:18" s="154" customFormat="1" ht="36.75" customHeight="1" thickBot="1">
      <c r="A7" s="155"/>
      <c r="B7" s="204" t="s">
        <v>234</v>
      </c>
      <c r="C7" s="180" t="s">
        <v>266</v>
      </c>
      <c r="D7" s="180" t="s">
        <v>267</v>
      </c>
      <c r="E7" s="180" t="s">
        <v>215</v>
      </c>
      <c r="F7" s="181" t="s">
        <v>235</v>
      </c>
      <c r="H7" s="179" t="s">
        <v>234</v>
      </c>
      <c r="I7" s="180" t="s">
        <v>266</v>
      </c>
      <c r="J7" s="180" t="s">
        <v>267</v>
      </c>
      <c r="K7" s="180" t="s">
        <v>215</v>
      </c>
      <c r="L7" s="181" t="s">
        <v>235</v>
      </c>
      <c r="N7" s="179" t="s">
        <v>234</v>
      </c>
      <c r="O7" s="180" t="s">
        <v>266</v>
      </c>
      <c r="P7" s="180" t="s">
        <v>267</v>
      </c>
      <c r="Q7" s="180" t="s">
        <v>215</v>
      </c>
      <c r="R7" s="181" t="s">
        <v>235</v>
      </c>
    </row>
    <row r="8" spans="2:18" s="154" customFormat="1" ht="10.5" customHeight="1">
      <c r="B8" s="173"/>
      <c r="C8" s="182"/>
      <c r="D8" s="182"/>
      <c r="E8" s="182"/>
      <c r="F8" s="182"/>
      <c r="H8" s="173"/>
      <c r="I8" s="182"/>
      <c r="J8" s="182"/>
      <c r="K8" s="182"/>
      <c r="L8" s="182"/>
      <c r="N8" s="173"/>
      <c r="O8" s="182"/>
      <c r="P8" s="182"/>
      <c r="Q8" s="182"/>
      <c r="R8" s="182"/>
    </row>
    <row r="9" spans="2:18" s="183" customFormat="1" ht="34.5" customHeight="1">
      <c r="B9" s="184" t="s">
        <v>236</v>
      </c>
      <c r="C9" s="185" t="s">
        <v>268</v>
      </c>
      <c r="D9" s="185" t="s">
        <v>269</v>
      </c>
      <c r="E9" s="185" t="s">
        <v>270</v>
      </c>
      <c r="F9" s="186"/>
      <c r="H9" s="187" t="s">
        <v>236</v>
      </c>
      <c r="I9" s="185" t="s">
        <v>268</v>
      </c>
      <c r="J9" s="185" t="s">
        <v>269</v>
      </c>
      <c r="K9" s="185" t="s">
        <v>270</v>
      </c>
      <c r="L9" s="186"/>
      <c r="N9" s="187" t="s">
        <v>236</v>
      </c>
      <c r="O9" s="185" t="s">
        <v>268</v>
      </c>
      <c r="P9" s="185" t="s">
        <v>269</v>
      </c>
      <c r="Q9" s="185" t="s">
        <v>270</v>
      </c>
      <c r="R9" s="186"/>
    </row>
    <row r="10" spans="2:18" s="188" customFormat="1" ht="24" customHeight="1" hidden="1">
      <c r="B10" s="189"/>
      <c r="C10" s="190"/>
      <c r="D10" s="190"/>
      <c r="E10" s="190"/>
      <c r="F10" s="191"/>
      <c r="H10" s="189"/>
      <c r="I10" s="190"/>
      <c r="J10" s="190"/>
      <c r="K10" s="190"/>
      <c r="L10" s="191"/>
      <c r="N10" s="192" t="s">
        <v>271</v>
      </c>
      <c r="O10" s="193">
        <v>9330092</v>
      </c>
      <c r="P10" s="193">
        <v>23172875</v>
      </c>
      <c r="Q10" s="193">
        <v>15866590</v>
      </c>
      <c r="R10" s="193">
        <f>SUM(O10:Q10)</f>
        <v>48369557</v>
      </c>
    </row>
    <row r="11" spans="2:18" s="154" customFormat="1" ht="18.75">
      <c r="B11" s="174" t="s">
        <v>29</v>
      </c>
      <c r="C11" s="194">
        <v>13280508</v>
      </c>
      <c r="D11" s="194">
        <v>18851686</v>
      </c>
      <c r="E11" s="194">
        <v>15866590</v>
      </c>
      <c r="F11" s="194">
        <f>SUM(C11:E11)</f>
        <v>47998784</v>
      </c>
      <c r="H11" s="174" t="s">
        <v>29</v>
      </c>
      <c r="I11" s="194">
        <v>13280508</v>
      </c>
      <c r="J11" s="194">
        <v>18851686</v>
      </c>
      <c r="K11" s="194">
        <v>15866590</v>
      </c>
      <c r="L11" s="194">
        <f>SUM(I11:K11)</f>
        <v>47998784</v>
      </c>
      <c r="N11" s="174" t="s">
        <v>29</v>
      </c>
      <c r="O11" s="194">
        <v>9330092</v>
      </c>
      <c r="P11" s="194">
        <v>23172875</v>
      </c>
      <c r="Q11" s="194">
        <v>25134508</v>
      </c>
      <c r="R11" s="194">
        <f>SUM(O11:Q11)</f>
        <v>57637475</v>
      </c>
    </row>
    <row r="12" spans="2:18" s="154" customFormat="1" ht="18.75">
      <c r="B12" s="174"/>
      <c r="C12" s="194"/>
      <c r="D12" s="194"/>
      <c r="E12" s="194"/>
      <c r="F12" s="194"/>
      <c r="H12" s="174"/>
      <c r="I12" s="194"/>
      <c r="J12" s="194"/>
      <c r="K12" s="194"/>
      <c r="L12" s="194"/>
      <c r="N12" s="195"/>
      <c r="O12" s="196"/>
      <c r="P12" s="196"/>
      <c r="Q12" s="196"/>
      <c r="R12" s="197"/>
    </row>
    <row r="13" spans="2:18" s="154" customFormat="1" ht="18.75" hidden="1">
      <c r="B13" s="174"/>
      <c r="C13" s="194"/>
      <c r="D13" s="194"/>
      <c r="E13" s="194"/>
      <c r="F13" s="194"/>
      <c r="H13" s="174"/>
      <c r="I13" s="194"/>
      <c r="J13" s="194"/>
      <c r="K13" s="194"/>
      <c r="L13" s="194"/>
      <c r="N13" s="174"/>
      <c r="O13" s="194"/>
      <c r="P13" s="194"/>
      <c r="Q13" s="194"/>
      <c r="R13" s="194"/>
    </row>
    <row r="14" spans="2:18" s="154" customFormat="1" ht="18.75" hidden="1">
      <c r="B14" s="174"/>
      <c r="C14" s="194"/>
      <c r="D14" s="194"/>
      <c r="E14" s="194"/>
      <c r="F14" s="194"/>
      <c r="H14" s="174"/>
      <c r="I14" s="194"/>
      <c r="J14" s="194"/>
      <c r="K14" s="194"/>
      <c r="L14" s="194"/>
      <c r="N14" s="192" t="s">
        <v>271</v>
      </c>
      <c r="O14" s="193">
        <v>9330092</v>
      </c>
      <c r="P14" s="193">
        <v>23172875</v>
      </c>
      <c r="Q14" s="193">
        <v>15866590</v>
      </c>
      <c r="R14" s="193">
        <f>SUM(O14:Q14)</f>
        <v>48369557</v>
      </c>
    </row>
    <row r="15" spans="2:18" s="154" customFormat="1" ht="18.75">
      <c r="B15" s="174" t="s">
        <v>272</v>
      </c>
      <c r="C15" s="194">
        <v>12997726</v>
      </c>
      <c r="D15" s="194">
        <v>36812827</v>
      </c>
      <c r="E15" s="194">
        <f>15866590+15866590</f>
        <v>31733180</v>
      </c>
      <c r="F15" s="194">
        <f>SUM(C15:E15)</f>
        <v>81543733</v>
      </c>
      <c r="H15" s="174" t="s">
        <v>272</v>
      </c>
      <c r="I15" s="194">
        <v>12997726</v>
      </c>
      <c r="J15" s="194">
        <v>36812827</v>
      </c>
      <c r="K15" s="194">
        <f>15866590+15866590</f>
        <v>31733180</v>
      </c>
      <c r="L15" s="194">
        <f>SUM(I15:K15)</f>
        <v>81543733</v>
      </c>
      <c r="N15" s="174" t="s">
        <v>45</v>
      </c>
      <c r="O15" s="194">
        <v>9330092</v>
      </c>
      <c r="P15" s="194">
        <v>23172875</v>
      </c>
      <c r="Q15" s="194">
        <v>25134508</v>
      </c>
      <c r="R15" s="194">
        <f>SUM(O15:Q15)</f>
        <v>57637475</v>
      </c>
    </row>
    <row r="16" spans="2:18" s="154" customFormat="1" ht="18.75">
      <c r="B16" s="174"/>
      <c r="C16" s="194"/>
      <c r="D16" s="194"/>
      <c r="E16" s="194"/>
      <c r="F16" s="194"/>
      <c r="H16" s="174"/>
      <c r="I16" s="194"/>
      <c r="J16" s="194"/>
      <c r="K16" s="194"/>
      <c r="L16" s="194"/>
      <c r="N16" s="195"/>
      <c r="O16" s="196"/>
      <c r="P16" s="196"/>
      <c r="Q16" s="196"/>
      <c r="R16" s="197"/>
    </row>
    <row r="17" spans="2:18" s="154" customFormat="1" ht="18.75" hidden="1">
      <c r="B17" s="174"/>
      <c r="C17" s="194"/>
      <c r="D17" s="194"/>
      <c r="E17" s="194"/>
      <c r="F17" s="194"/>
      <c r="H17" s="174"/>
      <c r="I17" s="194"/>
      <c r="J17" s="194"/>
      <c r="K17" s="194"/>
      <c r="L17" s="194"/>
      <c r="N17" s="174"/>
      <c r="O17" s="194"/>
      <c r="P17" s="194"/>
      <c r="Q17" s="194"/>
      <c r="R17" s="194"/>
    </row>
    <row r="18" spans="2:18" s="154" customFormat="1" ht="18.75">
      <c r="B18" s="174" t="s">
        <v>46</v>
      </c>
      <c r="C18" s="194">
        <v>15402307</v>
      </c>
      <c r="D18" s="194">
        <v>63690062</v>
      </c>
      <c r="E18" s="194">
        <v>127081546</v>
      </c>
      <c r="F18" s="194">
        <f>SUM(C18:E18)</f>
        <v>206173915</v>
      </c>
      <c r="H18" s="174" t="s">
        <v>46</v>
      </c>
      <c r="I18" s="194">
        <v>15402307</v>
      </c>
      <c r="J18" s="194">
        <v>63690062</v>
      </c>
      <c r="K18" s="194">
        <v>127081546</v>
      </c>
      <c r="L18" s="194">
        <f>SUM(I18:K18)</f>
        <v>206173915</v>
      </c>
      <c r="N18" s="198" t="s">
        <v>46</v>
      </c>
      <c r="O18" s="196">
        <f>15402307+3950416+3667634</f>
        <v>23020357</v>
      </c>
      <c r="P18" s="196">
        <f>63690062+9318763</f>
        <v>73008825</v>
      </c>
      <c r="Q18" s="196">
        <v>127081546</v>
      </c>
      <c r="R18" s="196">
        <f>SUM(O18:Q18)</f>
        <v>223110728</v>
      </c>
    </row>
    <row r="19" spans="2:18" s="154" customFormat="1" ht="18.75">
      <c r="B19" s="174"/>
      <c r="C19" s="194"/>
      <c r="D19" s="194"/>
      <c r="E19" s="194"/>
      <c r="F19" s="194"/>
      <c r="H19" s="174"/>
      <c r="I19" s="194"/>
      <c r="J19" s="194"/>
      <c r="K19" s="194"/>
      <c r="L19" s="194"/>
      <c r="N19" s="174"/>
      <c r="O19" s="194"/>
      <c r="P19" s="194"/>
      <c r="Q19" s="194"/>
      <c r="R19" s="194"/>
    </row>
    <row r="20" spans="2:18" s="154" customFormat="1" ht="18.75">
      <c r="B20" s="174" t="s">
        <v>50</v>
      </c>
      <c r="C20" s="194">
        <v>12316308</v>
      </c>
      <c r="D20" s="194">
        <v>48226906</v>
      </c>
      <c r="E20" s="194">
        <v>15866590</v>
      </c>
      <c r="F20" s="194">
        <f>SUM(C20:E20)</f>
        <v>76409804</v>
      </c>
      <c r="H20" s="174" t="s">
        <v>50</v>
      </c>
      <c r="I20" s="194">
        <v>12316308</v>
      </c>
      <c r="J20" s="194">
        <v>48226906</v>
      </c>
      <c r="K20" s="194">
        <v>15866590</v>
      </c>
      <c r="L20" s="194">
        <f>SUM(I20:K20)</f>
        <v>76409804</v>
      </c>
      <c r="N20" s="174" t="s">
        <v>50</v>
      </c>
      <c r="O20" s="194">
        <v>12316308</v>
      </c>
      <c r="P20" s="194">
        <v>48226906</v>
      </c>
      <c r="Q20" s="194">
        <v>15866590</v>
      </c>
      <c r="R20" s="194">
        <f>SUM(O20:Q20)</f>
        <v>76409804</v>
      </c>
    </row>
    <row r="21" spans="2:18" s="154" customFormat="1" ht="15" customHeight="1">
      <c r="B21" s="174"/>
      <c r="C21" s="194"/>
      <c r="D21" s="194"/>
      <c r="E21" s="194"/>
      <c r="F21" s="194"/>
      <c r="H21" s="174"/>
      <c r="I21" s="194"/>
      <c r="J21" s="194"/>
      <c r="K21" s="194"/>
      <c r="L21" s="194"/>
      <c r="N21" s="174"/>
      <c r="O21" s="194"/>
      <c r="P21" s="194"/>
      <c r="Q21" s="194"/>
      <c r="R21" s="194"/>
    </row>
    <row r="22" spans="2:18" s="154" customFormat="1" ht="18.75">
      <c r="B22" s="174" t="s">
        <v>51</v>
      </c>
      <c r="C22" s="194">
        <v>10346778</v>
      </c>
      <c r="D22" s="194">
        <v>71785474</v>
      </c>
      <c r="E22" s="194">
        <v>15866590</v>
      </c>
      <c r="F22" s="194">
        <f>SUM(C22:E22)</f>
        <v>97998842</v>
      </c>
      <c r="H22" s="174" t="s">
        <v>51</v>
      </c>
      <c r="I22" s="194">
        <v>10346778</v>
      </c>
      <c r="J22" s="194">
        <v>71785474</v>
      </c>
      <c r="K22" s="194">
        <v>15866590</v>
      </c>
      <c r="L22" s="194">
        <f>SUM(I22:K22)</f>
        <v>97998842</v>
      </c>
      <c r="N22" s="174" t="s">
        <v>51</v>
      </c>
      <c r="O22" s="194">
        <v>10346778</v>
      </c>
      <c r="P22" s="194">
        <v>71785474</v>
      </c>
      <c r="Q22" s="194">
        <v>15866590</v>
      </c>
      <c r="R22" s="194">
        <f>SUM(O22:Q22)</f>
        <v>97998842</v>
      </c>
    </row>
    <row r="23" spans="2:18" s="154" customFormat="1" ht="15" customHeight="1">
      <c r="B23" s="174"/>
      <c r="C23" s="194"/>
      <c r="D23" s="194"/>
      <c r="E23" s="194"/>
      <c r="F23" s="194"/>
      <c r="H23" s="174"/>
      <c r="I23" s="194"/>
      <c r="J23" s="194"/>
      <c r="K23" s="194"/>
      <c r="L23" s="194"/>
      <c r="N23" s="174"/>
      <c r="O23" s="194"/>
      <c r="P23" s="194"/>
      <c r="Q23" s="194"/>
      <c r="R23" s="194"/>
    </row>
    <row r="24" spans="2:18" s="154" customFormat="1" ht="18.75">
      <c r="B24" s="174" t="s">
        <v>53</v>
      </c>
      <c r="C24" s="194">
        <v>12862212</v>
      </c>
      <c r="D24" s="194">
        <v>50705737</v>
      </c>
      <c r="E24" s="194">
        <v>15866590</v>
      </c>
      <c r="F24" s="194">
        <f>SUM(C24:E24)</f>
        <v>79434539</v>
      </c>
      <c r="H24" s="174" t="s">
        <v>53</v>
      </c>
      <c r="I24" s="194">
        <v>12862212</v>
      </c>
      <c r="J24" s="194">
        <v>38707544</v>
      </c>
      <c r="K24" s="194">
        <v>15866590</v>
      </c>
      <c r="L24" s="194">
        <f>SUM(I24:K24)</f>
        <v>67436346</v>
      </c>
      <c r="N24" s="174" t="s">
        <v>53</v>
      </c>
      <c r="O24" s="194">
        <v>12862212</v>
      </c>
      <c r="P24" s="194">
        <v>38707545</v>
      </c>
      <c r="Q24" s="194">
        <v>15866590</v>
      </c>
      <c r="R24" s="194">
        <f>SUM(O24:Q24)</f>
        <v>67436347</v>
      </c>
    </row>
    <row r="25" spans="2:18" s="154" customFormat="1" ht="18.75">
      <c r="B25" s="174"/>
      <c r="C25" s="194"/>
      <c r="D25" s="194"/>
      <c r="E25" s="194"/>
      <c r="F25" s="194"/>
      <c r="H25" s="174"/>
      <c r="I25" s="194"/>
      <c r="J25" s="194"/>
      <c r="K25" s="194"/>
      <c r="L25" s="194"/>
      <c r="N25" s="174"/>
      <c r="O25" s="194"/>
      <c r="P25" s="194"/>
      <c r="Q25" s="194"/>
      <c r="R25" s="194"/>
    </row>
    <row r="26" spans="2:18" s="154" customFormat="1" ht="18.75">
      <c r="B26" s="174" t="s">
        <v>54</v>
      </c>
      <c r="C26" s="194">
        <v>13169322</v>
      </c>
      <c r="D26" s="194">
        <v>54924856</v>
      </c>
      <c r="E26" s="194">
        <v>15866590</v>
      </c>
      <c r="F26" s="194">
        <f>SUM(C26:E26)</f>
        <v>83960768</v>
      </c>
      <c r="H26" s="174" t="s">
        <v>54</v>
      </c>
      <c r="I26" s="194">
        <v>13169322</v>
      </c>
      <c r="J26" s="194"/>
      <c r="K26" s="194">
        <v>15866590</v>
      </c>
      <c r="L26" s="194">
        <f>SUM(I26:K26)</f>
        <v>29035912</v>
      </c>
      <c r="N26" s="174" t="s">
        <v>54</v>
      </c>
      <c r="O26" s="194">
        <v>13169322</v>
      </c>
      <c r="P26" s="194"/>
      <c r="Q26" s="194">
        <v>15866590</v>
      </c>
      <c r="R26" s="194">
        <f>SUM(O26:Q26)</f>
        <v>29035912</v>
      </c>
    </row>
    <row r="27" spans="2:18" s="154" customFormat="1" ht="18.75">
      <c r="B27" s="174"/>
      <c r="C27" s="194"/>
      <c r="D27" s="194"/>
      <c r="E27" s="194"/>
      <c r="F27" s="194"/>
      <c r="H27" s="174"/>
      <c r="I27" s="194"/>
      <c r="J27" s="194"/>
      <c r="K27" s="194"/>
      <c r="L27" s="194"/>
      <c r="N27" s="174"/>
      <c r="O27" s="194"/>
      <c r="P27" s="194"/>
      <c r="Q27" s="194"/>
      <c r="R27" s="194"/>
    </row>
    <row r="28" spans="2:18" s="154" customFormat="1" ht="18.75">
      <c r="B28" s="174" t="s">
        <v>65</v>
      </c>
      <c r="C28" s="194">
        <v>9732597</v>
      </c>
      <c r="D28" s="194">
        <v>17744348</v>
      </c>
      <c r="E28" s="194">
        <v>15866590</v>
      </c>
      <c r="F28" s="194">
        <f>SUM(C28:E28)</f>
        <v>43343535</v>
      </c>
      <c r="H28" s="174" t="s">
        <v>65</v>
      </c>
      <c r="I28" s="194">
        <v>9732597</v>
      </c>
      <c r="J28" s="194"/>
      <c r="K28" s="194">
        <v>15866590</v>
      </c>
      <c r="L28" s="194">
        <f>SUM(I28:K28)</f>
        <v>25599187</v>
      </c>
      <c r="N28" s="174" t="s">
        <v>65</v>
      </c>
      <c r="O28" s="194">
        <v>9732597</v>
      </c>
      <c r="P28" s="194"/>
      <c r="Q28" s="194">
        <v>15866590</v>
      </c>
      <c r="R28" s="194">
        <f>SUM(O28:Q28)</f>
        <v>25599187</v>
      </c>
    </row>
    <row r="29" spans="2:18" s="154" customFormat="1" ht="16.5" customHeight="1">
      <c r="B29" s="174"/>
      <c r="C29" s="194"/>
      <c r="D29" s="194"/>
      <c r="E29" s="194"/>
      <c r="F29" s="194"/>
      <c r="H29" s="174"/>
      <c r="I29" s="194"/>
      <c r="J29" s="194"/>
      <c r="K29" s="194"/>
      <c r="L29" s="194"/>
      <c r="N29" s="174"/>
      <c r="O29" s="194"/>
      <c r="P29" s="194"/>
      <c r="Q29" s="194"/>
      <c r="R29" s="194"/>
    </row>
    <row r="30" spans="2:18" s="154" customFormat="1" ht="18.75">
      <c r="B30" s="174" t="s">
        <v>70</v>
      </c>
      <c r="C30" s="194">
        <v>12061854</v>
      </c>
      <c r="D30" s="194">
        <v>7646667</v>
      </c>
      <c r="E30" s="194">
        <v>15866590</v>
      </c>
      <c r="F30" s="194">
        <f>SUM(C30:E30)</f>
        <v>35575111</v>
      </c>
      <c r="H30" s="174" t="s">
        <v>70</v>
      </c>
      <c r="I30" s="194">
        <v>11853342</v>
      </c>
      <c r="J30" s="194"/>
      <c r="K30" s="194">
        <v>15866590</v>
      </c>
      <c r="L30" s="194">
        <f>SUM(I30:K30)</f>
        <v>27719932</v>
      </c>
      <c r="N30" s="174" t="s">
        <v>70</v>
      </c>
      <c r="O30" s="194">
        <v>11853342</v>
      </c>
      <c r="P30" s="194"/>
      <c r="Q30" s="194">
        <v>15866590</v>
      </c>
      <c r="R30" s="194">
        <f>SUM(O30:Q30)</f>
        <v>27719932</v>
      </c>
    </row>
    <row r="31" spans="2:18" s="154" customFormat="1" ht="15" customHeight="1">
      <c r="B31" s="174"/>
      <c r="C31" s="194"/>
      <c r="D31" s="194"/>
      <c r="E31" s="194"/>
      <c r="F31" s="194"/>
      <c r="H31" s="174"/>
      <c r="I31" s="194"/>
      <c r="J31" s="194"/>
      <c r="K31" s="194"/>
      <c r="L31" s="194"/>
      <c r="N31" s="174"/>
      <c r="O31" s="194"/>
      <c r="P31" s="194"/>
      <c r="Q31" s="194"/>
      <c r="R31" s="194"/>
    </row>
    <row r="32" spans="2:18" s="154" customFormat="1" ht="23.25" customHeight="1">
      <c r="B32" s="174" t="s">
        <v>85</v>
      </c>
      <c r="C32" s="194">
        <v>9911341</v>
      </c>
      <c r="D32" s="194">
        <v>4632038</v>
      </c>
      <c r="E32" s="194">
        <v>15866590</v>
      </c>
      <c r="F32" s="194">
        <f>SUM(C32:E32)</f>
        <v>30409969</v>
      </c>
      <c r="H32" s="174" t="s">
        <v>85</v>
      </c>
      <c r="I32" s="194"/>
      <c r="J32" s="194"/>
      <c r="K32" s="194">
        <v>15866590</v>
      </c>
      <c r="L32" s="194">
        <f>SUM(I32:K32)</f>
        <v>15866590</v>
      </c>
      <c r="N32" s="199" t="s">
        <v>85</v>
      </c>
      <c r="O32" s="200"/>
      <c r="P32" s="200"/>
      <c r="Q32" s="200">
        <v>15866590</v>
      </c>
      <c r="R32" s="200">
        <f>SUM(O32:Q32)</f>
        <v>15866590</v>
      </c>
    </row>
    <row r="33" spans="2:18" s="154" customFormat="1" ht="18.75">
      <c r="B33" s="174"/>
      <c r="C33" s="194"/>
      <c r="D33" s="194"/>
      <c r="E33" s="194"/>
      <c r="F33" s="194"/>
      <c r="H33" s="174"/>
      <c r="I33" s="194"/>
      <c r="J33" s="194"/>
      <c r="K33" s="194"/>
      <c r="L33" s="194"/>
      <c r="N33" s="174"/>
      <c r="O33" s="194"/>
      <c r="P33" s="194"/>
      <c r="Q33" s="194"/>
      <c r="R33" s="194"/>
    </row>
    <row r="34" spans="2:18" s="154" customFormat="1" ht="18.75">
      <c r="B34" s="174" t="s">
        <v>86</v>
      </c>
      <c r="C34" s="194">
        <v>10018957</v>
      </c>
      <c r="D34" s="194">
        <v>4234246</v>
      </c>
      <c r="E34" s="194">
        <f>15866590</f>
        <v>15866590</v>
      </c>
      <c r="F34" s="194">
        <f>SUM(C34:E34)</f>
        <v>30119793</v>
      </c>
      <c r="H34" s="174" t="s">
        <v>86</v>
      </c>
      <c r="I34" s="194"/>
      <c r="J34" s="194"/>
      <c r="K34" s="194">
        <f>15866590+64</f>
        <v>15866654</v>
      </c>
      <c r="L34" s="194">
        <f>SUM(I34:K34)</f>
        <v>15866654</v>
      </c>
      <c r="N34" s="174" t="s">
        <v>86</v>
      </c>
      <c r="O34" s="194"/>
      <c r="P34" s="194"/>
      <c r="Q34" s="194">
        <f>15866590+64-2669246</f>
        <v>13197408</v>
      </c>
      <c r="R34" s="194">
        <f>SUM(O34:Q34)</f>
        <v>13197408</v>
      </c>
    </row>
    <row r="35" spans="2:18" s="154" customFormat="1" ht="18.75">
      <c r="B35" s="174"/>
      <c r="C35" s="194"/>
      <c r="D35" s="194"/>
      <c r="E35" s="194"/>
      <c r="F35" s="194"/>
      <c r="H35" s="174"/>
      <c r="I35" s="194"/>
      <c r="J35" s="194"/>
      <c r="K35" s="194"/>
      <c r="L35" s="194"/>
      <c r="N35" s="174"/>
      <c r="O35" s="194"/>
      <c r="P35" s="194"/>
      <c r="Q35" s="194"/>
      <c r="R35" s="194"/>
    </row>
    <row r="36" spans="2:18" s="154" customFormat="1" ht="18.75">
      <c r="B36" s="174" t="s">
        <v>30</v>
      </c>
      <c r="C36" s="194">
        <v>31131297</v>
      </c>
      <c r="D36" s="194">
        <v>9075446</v>
      </c>
      <c r="E36" s="194"/>
      <c r="F36" s="194">
        <f>SUM(C36:E36)</f>
        <v>40206743</v>
      </c>
      <c r="H36" s="174" t="s">
        <v>30</v>
      </c>
      <c r="I36" s="194"/>
      <c r="J36" s="194"/>
      <c r="K36" s="194"/>
      <c r="L36" s="194">
        <f>SUM(I36:K36)</f>
        <v>0</v>
      </c>
      <c r="N36" s="174" t="s">
        <v>30</v>
      </c>
      <c r="O36" s="194"/>
      <c r="P36" s="194"/>
      <c r="Q36" s="194"/>
      <c r="R36" s="194">
        <f>SUM(O36:Q36)</f>
        <v>0</v>
      </c>
    </row>
    <row r="37" spans="2:18" s="154" customFormat="1" ht="18.75">
      <c r="B37" s="174"/>
      <c r="C37" s="194"/>
      <c r="D37" s="194"/>
      <c r="E37" s="194"/>
      <c r="F37" s="194">
        <f>SUM(C37:E37)</f>
        <v>0</v>
      </c>
      <c r="H37" s="174"/>
      <c r="I37" s="194"/>
      <c r="J37" s="194"/>
      <c r="K37" s="194"/>
      <c r="L37" s="194">
        <f>SUM(I37:K37)</f>
        <v>0</v>
      </c>
      <c r="N37" s="174"/>
      <c r="O37" s="194"/>
      <c r="P37" s="194"/>
      <c r="Q37" s="194"/>
      <c r="R37" s="194">
        <f>SUM(O37:Q37)</f>
        <v>0</v>
      </c>
    </row>
    <row r="38" spans="2:18" s="154" customFormat="1" ht="20.25">
      <c r="B38" s="175" t="s">
        <v>23</v>
      </c>
      <c r="C38" s="201">
        <f>SUM(C11:C37)</f>
        <v>163231207</v>
      </c>
      <c r="D38" s="201">
        <f>SUM(D11:D37)+1</f>
        <v>388330294</v>
      </c>
      <c r="E38" s="201">
        <f>SUM(E11:E37)</f>
        <v>301614036</v>
      </c>
      <c r="F38" s="202">
        <f>SUM(C38:E38)-11</f>
        <v>853175526</v>
      </c>
      <c r="H38" s="175" t="s">
        <v>23</v>
      </c>
      <c r="I38" s="201">
        <f>SUM(I11:I37)</f>
        <v>111961100</v>
      </c>
      <c r="J38" s="201">
        <f>SUM(J11:J37)+1</f>
        <v>278074500</v>
      </c>
      <c r="K38" s="201">
        <f>SUM(K11:K37)</f>
        <v>301614100</v>
      </c>
      <c r="L38" s="202">
        <f>SUM(I38:K38)-11</f>
        <v>691649689</v>
      </c>
      <c r="N38" s="175" t="s">
        <v>23</v>
      </c>
      <c r="O38" s="201">
        <f>SUM(O18:O37)+O15+O11</f>
        <v>111961100</v>
      </c>
      <c r="P38" s="201">
        <f>SUM(P18:P37)+P15+P11</f>
        <v>278074500</v>
      </c>
      <c r="Q38" s="201">
        <f>SUM(Q18:Q37)+Q15+Q11</f>
        <v>301614100</v>
      </c>
      <c r="R38" s="202">
        <f>SUM(O38:Q38)</f>
        <v>691649700</v>
      </c>
    </row>
    <row r="39" spans="2:18" s="154" customFormat="1" ht="15">
      <c r="B39" s="176"/>
      <c r="C39" s="176"/>
      <c r="D39" s="176"/>
      <c r="E39" s="176"/>
      <c r="F39" s="176"/>
      <c r="H39" s="176"/>
      <c r="I39" s="176"/>
      <c r="J39" s="176"/>
      <c r="K39" s="176"/>
      <c r="L39" s="176"/>
      <c r="N39" s="176"/>
      <c r="O39" s="176"/>
      <c r="P39" s="176"/>
      <c r="Q39" s="176"/>
      <c r="R39" s="176"/>
    </row>
    <row r="40" spans="2:18" s="154" customFormat="1" ht="20.25">
      <c r="B40" s="175" t="s">
        <v>273</v>
      </c>
      <c r="C40" s="201">
        <v>111961100</v>
      </c>
      <c r="D40" s="201">
        <v>278074500</v>
      </c>
      <c r="E40" s="201">
        <v>301614100</v>
      </c>
      <c r="F40" s="202">
        <v>691649689</v>
      </c>
      <c r="H40" s="168"/>
      <c r="I40" s="203"/>
      <c r="J40" s="203"/>
      <c r="K40" s="203"/>
      <c r="L40" s="168"/>
      <c r="N40" s="168"/>
      <c r="O40" s="203"/>
      <c r="P40" s="203"/>
      <c r="Q40" s="203"/>
      <c r="R40" s="168" t="s">
        <v>138</v>
      </c>
    </row>
    <row r="41" spans="2:18" s="154" customFormat="1" ht="15">
      <c r="B41" s="168"/>
      <c r="C41" s="177"/>
      <c r="D41" s="177"/>
      <c r="E41" s="177"/>
      <c r="F41" s="177"/>
      <c r="H41" s="168"/>
      <c r="I41" s="177"/>
      <c r="J41" s="177"/>
      <c r="K41" s="177"/>
      <c r="L41" s="177"/>
      <c r="N41" s="168"/>
      <c r="O41" s="177"/>
      <c r="P41" s="177"/>
      <c r="Q41" s="177"/>
      <c r="R41" s="177"/>
    </row>
    <row r="42" spans="2:18" s="154" customFormat="1" ht="20.25">
      <c r="B42" s="175" t="s">
        <v>274</v>
      </c>
      <c r="C42" s="201">
        <f>C38-C40</f>
        <v>51270107</v>
      </c>
      <c r="D42" s="201">
        <f>D38-D40</f>
        <v>110255794</v>
      </c>
      <c r="E42" s="201">
        <f>E38-E40</f>
        <v>-64</v>
      </c>
      <c r="F42" s="202">
        <f>F38-F40</f>
        <v>161525837</v>
      </c>
      <c r="H42" s="168"/>
      <c r="I42" s="203"/>
      <c r="J42" s="203"/>
      <c r="K42" s="203"/>
      <c r="L42" s="168"/>
      <c r="N42" s="168"/>
      <c r="O42" s="203"/>
      <c r="P42" s="203"/>
      <c r="Q42" s="203"/>
      <c r="R42" s="168"/>
    </row>
    <row r="43" spans="2:18" s="154" customFormat="1" ht="15">
      <c r="B43" s="168"/>
      <c r="C43" s="168"/>
      <c r="D43" s="168"/>
      <c r="E43" s="168"/>
      <c r="F43" s="168"/>
      <c r="H43" s="168"/>
      <c r="I43" s="168"/>
      <c r="J43" s="168"/>
      <c r="K43" s="168"/>
      <c r="L43" s="168"/>
      <c r="N43" s="168"/>
      <c r="O43" s="168"/>
      <c r="P43" s="168"/>
      <c r="Q43" s="168"/>
      <c r="R43" s="168"/>
    </row>
    <row r="44" spans="2:18" s="154" customFormat="1" ht="15">
      <c r="B44" s="168"/>
      <c r="C44" s="168"/>
      <c r="D44" s="168"/>
      <c r="E44" s="168"/>
      <c r="F44" s="168"/>
      <c r="H44" s="168"/>
      <c r="I44" s="168"/>
      <c r="J44" s="168"/>
      <c r="K44" s="168"/>
      <c r="L44" s="168"/>
      <c r="N44" s="168"/>
      <c r="O44" s="168"/>
      <c r="P44" s="168"/>
      <c r="Q44" s="168"/>
      <c r="R44" s="168"/>
    </row>
  </sheetData>
  <sheetProtection/>
  <mergeCells count="10">
    <mergeCell ref="C6:F6"/>
    <mergeCell ref="I6:L6"/>
    <mergeCell ref="O6:R6"/>
    <mergeCell ref="B2:F2"/>
    <mergeCell ref="H2:L2"/>
    <mergeCell ref="N2:R2"/>
    <mergeCell ref="B3:F3"/>
    <mergeCell ref="B4:F4"/>
    <mergeCell ref="H4:L4"/>
    <mergeCell ref="N4:R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EM146"/>
  <sheetViews>
    <sheetView zoomScale="75" zoomScaleNormal="75" zoomScalePageLayoutView="0" workbookViewId="0" topLeftCell="AC1">
      <selection activeCell="AE14" sqref="AE14"/>
    </sheetView>
  </sheetViews>
  <sheetFormatPr defaultColWidth="11.00390625" defaultRowHeight="15.75"/>
  <cols>
    <col min="1" max="1" width="12.625" style="2" customWidth="1"/>
    <col min="2" max="2" width="53.125" style="2" customWidth="1"/>
    <col min="3" max="3" width="15.50390625" style="2" hidden="1" customWidth="1"/>
    <col min="4" max="4" width="16.125" style="2" hidden="1" customWidth="1"/>
    <col min="5" max="5" width="16.50390625" style="2" hidden="1" customWidth="1"/>
    <col min="6" max="6" width="16.625" style="2" customWidth="1"/>
    <col min="7" max="7" width="16.375" style="2" hidden="1" customWidth="1"/>
    <col min="8" max="8" width="16.00390625" style="2" hidden="1" customWidth="1"/>
    <col min="9" max="9" width="14.50390625" style="2" hidden="1" customWidth="1"/>
    <col min="10" max="10" width="16.25390625" style="2" hidden="1" customWidth="1"/>
    <col min="11" max="12" width="14.75390625" style="2" hidden="1" customWidth="1"/>
    <col min="13" max="13" width="13.50390625" style="2" hidden="1" customWidth="1"/>
    <col min="14" max="14" width="17.875" style="2" hidden="1" customWidth="1"/>
    <col min="15" max="16" width="16.75390625" style="2" customWidth="1"/>
    <col min="17" max="17" width="14.875" style="2" customWidth="1"/>
    <col min="18" max="18" width="13.125" style="149" customWidth="1"/>
    <col min="19" max="19" width="11.00390625" style="26" customWidth="1"/>
    <col min="20" max="20" width="13.375" style="2" customWidth="1"/>
    <col min="21" max="21" width="48.875" style="2" customWidth="1"/>
    <col min="22" max="22" width="22.00390625" style="58" customWidth="1"/>
    <col min="23" max="23" width="14.75390625" style="2" customWidth="1"/>
    <col min="24" max="24" width="18.875" style="2" customWidth="1"/>
    <col min="25" max="25" width="24.375" style="2" customWidth="1"/>
    <col min="26" max="26" width="18.875" style="33" customWidth="1"/>
    <col min="27" max="27" width="11.00390625" style="22" customWidth="1"/>
    <col min="28" max="28" width="6.625" style="2" customWidth="1"/>
    <col min="29" max="29" width="49.00390625" style="2" customWidth="1"/>
    <col min="30" max="30" width="17.125" style="2" customWidth="1"/>
    <col min="31" max="31" width="18.125" style="2" customWidth="1"/>
    <col min="32" max="32" width="15.125" style="2" customWidth="1"/>
    <col min="33" max="33" width="17.125" style="2" customWidth="1"/>
    <col min="34" max="34" width="17.375" style="2" customWidth="1"/>
    <col min="35" max="35" width="16.875" style="2" customWidth="1"/>
    <col min="36" max="36" width="17.00390625" style="25" customWidth="1"/>
    <col min="37" max="37" width="7.625" style="33" customWidth="1"/>
    <col min="38" max="38" width="11.75390625" style="22" bestFit="1" customWidth="1"/>
    <col min="39" max="39" width="14.50390625" style="22" bestFit="1" customWidth="1"/>
    <col min="40" max="16384" width="11.00390625" style="22" customWidth="1"/>
  </cols>
  <sheetData>
    <row r="1" spans="1:37" ht="21" customHeight="1" thickTop="1">
      <c r="A1" s="340" t="s">
        <v>194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  <c r="N1" s="341"/>
      <c r="O1" s="341"/>
      <c r="P1" s="341"/>
      <c r="Q1" s="342"/>
      <c r="T1" s="352" t="s">
        <v>194</v>
      </c>
      <c r="U1" s="353"/>
      <c r="V1" s="353"/>
      <c r="W1" s="353"/>
      <c r="X1" s="353"/>
      <c r="Y1" s="353"/>
      <c r="Z1" s="354"/>
      <c r="AB1" s="349" t="s">
        <v>194</v>
      </c>
      <c r="AC1" s="350"/>
      <c r="AD1" s="350"/>
      <c r="AE1" s="350"/>
      <c r="AF1" s="350"/>
      <c r="AG1" s="350"/>
      <c r="AH1" s="350"/>
      <c r="AI1" s="351"/>
      <c r="AK1" s="27"/>
    </row>
    <row r="2" spans="1:37" ht="18" customHeight="1">
      <c r="A2" s="343" t="s">
        <v>137</v>
      </c>
      <c r="B2" s="344"/>
      <c r="C2" s="344"/>
      <c r="D2" s="344"/>
      <c r="E2" s="344"/>
      <c r="F2" s="344"/>
      <c r="G2" s="344"/>
      <c r="H2" s="344"/>
      <c r="I2" s="344"/>
      <c r="J2" s="344"/>
      <c r="K2" s="344"/>
      <c r="L2" s="344"/>
      <c r="M2" s="344"/>
      <c r="N2" s="344"/>
      <c r="O2" s="344"/>
      <c r="P2" s="344"/>
      <c r="Q2" s="345"/>
      <c r="T2" s="355" t="s">
        <v>202</v>
      </c>
      <c r="U2" s="344"/>
      <c r="V2" s="344"/>
      <c r="W2" s="344"/>
      <c r="X2" s="344"/>
      <c r="Y2" s="344"/>
      <c r="Z2" s="356"/>
      <c r="AB2" s="357" t="s">
        <v>129</v>
      </c>
      <c r="AC2" s="358"/>
      <c r="AD2" s="358"/>
      <c r="AE2" s="358"/>
      <c r="AF2" s="358"/>
      <c r="AG2" s="358"/>
      <c r="AH2" s="358"/>
      <c r="AI2" s="359"/>
      <c r="AK2" s="27"/>
    </row>
    <row r="3" spans="1:37" ht="21" customHeight="1" thickBot="1">
      <c r="A3" s="346" t="s">
        <v>290</v>
      </c>
      <c r="B3" s="347"/>
      <c r="C3" s="347"/>
      <c r="D3" s="347"/>
      <c r="E3" s="347"/>
      <c r="F3" s="347"/>
      <c r="G3" s="347"/>
      <c r="H3" s="347"/>
      <c r="I3" s="347"/>
      <c r="J3" s="347"/>
      <c r="K3" s="347"/>
      <c r="L3" s="347"/>
      <c r="M3" s="347"/>
      <c r="N3" s="347"/>
      <c r="O3" s="347"/>
      <c r="P3" s="347"/>
      <c r="Q3" s="348"/>
      <c r="T3" s="367" t="s">
        <v>293</v>
      </c>
      <c r="U3" s="368"/>
      <c r="V3" s="368"/>
      <c r="W3" s="368"/>
      <c r="X3" s="368"/>
      <c r="Y3" s="368"/>
      <c r="Z3" s="369"/>
      <c r="AB3" s="360" t="s">
        <v>296</v>
      </c>
      <c r="AC3" s="361"/>
      <c r="AD3" s="361"/>
      <c r="AE3" s="361"/>
      <c r="AF3" s="361"/>
      <c r="AG3" s="361"/>
      <c r="AH3" s="361"/>
      <c r="AI3" s="362"/>
      <c r="AJ3" s="28" t="s">
        <v>138</v>
      </c>
      <c r="AK3" s="29"/>
    </row>
    <row r="4" spans="1:37" ht="18.75" customHeight="1" hidden="1" thickBot="1" thickTop="1">
      <c r="A4" s="302"/>
      <c r="B4" s="302"/>
      <c r="C4" s="302"/>
      <c r="D4" s="302"/>
      <c r="E4" s="302"/>
      <c r="F4" s="302"/>
      <c r="G4" s="302"/>
      <c r="H4" s="302"/>
      <c r="I4" s="302"/>
      <c r="J4" s="302"/>
      <c r="K4" s="302"/>
      <c r="L4" s="302"/>
      <c r="M4" s="302"/>
      <c r="N4" s="302"/>
      <c r="O4" s="302"/>
      <c r="P4" s="302"/>
      <c r="Q4" s="302"/>
      <c r="S4" s="30"/>
      <c r="T4" s="294"/>
      <c r="U4" s="294"/>
      <c r="V4" s="295"/>
      <c r="W4" s="296"/>
      <c r="X4" s="297"/>
      <c r="Y4" s="365" t="s">
        <v>0</v>
      </c>
      <c r="Z4" s="366"/>
      <c r="AA4" s="26"/>
      <c r="AB4" s="294"/>
      <c r="AC4" s="294"/>
      <c r="AD4" s="370" t="s">
        <v>129</v>
      </c>
      <c r="AE4" s="371"/>
      <c r="AF4" s="371"/>
      <c r="AG4" s="371"/>
      <c r="AH4" s="371"/>
      <c r="AI4" s="371"/>
      <c r="AJ4" s="363" t="s">
        <v>125</v>
      </c>
      <c r="AK4" s="364"/>
    </row>
    <row r="5" spans="1:37" ht="45" customHeight="1" thickBot="1" thickTop="1">
      <c r="A5" s="303" t="s">
        <v>47</v>
      </c>
      <c r="B5" s="299" t="s">
        <v>25</v>
      </c>
      <c r="C5" s="299" t="s">
        <v>29</v>
      </c>
      <c r="D5" s="299" t="s">
        <v>45</v>
      </c>
      <c r="E5" s="299" t="s">
        <v>46</v>
      </c>
      <c r="F5" s="299" t="s">
        <v>50</v>
      </c>
      <c r="G5" s="299" t="s">
        <v>51</v>
      </c>
      <c r="H5" s="299" t="s">
        <v>53</v>
      </c>
      <c r="I5" s="299" t="s">
        <v>54</v>
      </c>
      <c r="J5" s="299" t="s">
        <v>65</v>
      </c>
      <c r="K5" s="299" t="s">
        <v>70</v>
      </c>
      <c r="L5" s="299" t="s">
        <v>85</v>
      </c>
      <c r="M5" s="304" t="s">
        <v>86</v>
      </c>
      <c r="N5" s="304" t="s">
        <v>30</v>
      </c>
      <c r="O5" s="299" t="s">
        <v>291</v>
      </c>
      <c r="P5" s="299" t="s">
        <v>292</v>
      </c>
      <c r="Q5" s="304" t="s">
        <v>0</v>
      </c>
      <c r="R5" s="301" t="s">
        <v>173</v>
      </c>
      <c r="S5" s="32"/>
      <c r="T5" s="298" t="s">
        <v>47</v>
      </c>
      <c r="U5" s="299" t="s">
        <v>25</v>
      </c>
      <c r="V5" s="300" t="s">
        <v>90</v>
      </c>
      <c r="W5" s="299" t="s">
        <v>201</v>
      </c>
      <c r="X5" s="299" t="s">
        <v>134</v>
      </c>
      <c r="Y5" s="299" t="s">
        <v>89</v>
      </c>
      <c r="Z5" s="301" t="s">
        <v>173</v>
      </c>
      <c r="AB5" s="324" t="s">
        <v>47</v>
      </c>
      <c r="AC5" s="299" t="s">
        <v>25</v>
      </c>
      <c r="AD5" s="299" t="s">
        <v>128</v>
      </c>
      <c r="AE5" s="304" t="s">
        <v>278</v>
      </c>
      <c r="AF5" s="299" t="s">
        <v>279</v>
      </c>
      <c r="AG5" s="304" t="s">
        <v>280</v>
      </c>
      <c r="AH5" s="305" t="s">
        <v>288</v>
      </c>
      <c r="AI5" s="304" t="s">
        <v>287</v>
      </c>
      <c r="AJ5" s="299" t="s">
        <v>125</v>
      </c>
      <c r="AK5" s="301" t="s">
        <v>173</v>
      </c>
    </row>
    <row r="6" spans="1:37" ht="18.75" thickTop="1">
      <c r="A6" s="285">
        <v>1101</v>
      </c>
      <c r="B6" s="286" t="s">
        <v>2</v>
      </c>
      <c r="C6" s="287">
        <v>5279068.72</v>
      </c>
      <c r="D6" s="287">
        <v>5297555.21</v>
      </c>
      <c r="E6" s="287">
        <v>5316052.2</v>
      </c>
      <c r="F6" s="287">
        <v>5330267.15</v>
      </c>
      <c r="G6" s="287"/>
      <c r="H6" s="287"/>
      <c r="I6" s="287"/>
      <c r="J6" s="287"/>
      <c r="K6" s="287"/>
      <c r="L6" s="287"/>
      <c r="M6" s="287"/>
      <c r="N6" s="287"/>
      <c r="O6" s="287">
        <f aca="true" t="shared" si="0" ref="O6:O41">+D6+C6+E6+F6+G6+H6+I6+J6+K6+L6+M6+N6</f>
        <v>21222943.28</v>
      </c>
      <c r="P6" s="287">
        <v>22934652.464</v>
      </c>
      <c r="Q6" s="287">
        <f aca="true" t="shared" si="1" ref="Q6:Q14">+P6-O6</f>
        <v>1711709.1840000004</v>
      </c>
      <c r="R6" s="288">
        <f>+Q6/P6</f>
        <v>0.0746341888845637</v>
      </c>
      <c r="S6" s="34"/>
      <c r="T6" s="285">
        <v>1101</v>
      </c>
      <c r="U6" s="286" t="s">
        <v>2</v>
      </c>
      <c r="V6" s="287">
        <f>F6</f>
        <v>5330267.15</v>
      </c>
      <c r="W6" s="289">
        <f aca="true" t="shared" si="2" ref="W6:W26">+V6/$V$87</f>
        <v>0.04506700966467137</v>
      </c>
      <c r="X6" s="287">
        <v>5740456.424000001</v>
      </c>
      <c r="Y6" s="287">
        <f aca="true" t="shared" si="3" ref="Y6:Y41">+X6-V6</f>
        <v>410189.2740000002</v>
      </c>
      <c r="Z6" s="290">
        <f>+Y6/X6</f>
        <v>0.07145586408165376</v>
      </c>
      <c r="AB6" s="285">
        <v>1101</v>
      </c>
      <c r="AC6" s="286" t="s">
        <v>2</v>
      </c>
      <c r="AD6" s="291">
        <f>+O6</f>
        <v>21222943.28</v>
      </c>
      <c r="AE6" s="291">
        <v>69209439</v>
      </c>
      <c r="AF6" s="292">
        <v>-395108</v>
      </c>
      <c r="AG6" s="291">
        <f>AE6+AF6</f>
        <v>68814331</v>
      </c>
      <c r="AH6" s="291">
        <f>AI6-AG6</f>
        <v>43973</v>
      </c>
      <c r="AI6" s="291">
        <v>68858304</v>
      </c>
      <c r="AJ6" s="291">
        <f>AI6-AD6</f>
        <v>47635360.72</v>
      </c>
      <c r="AK6" s="293">
        <f>+AJ6/AI6</f>
        <v>0.6917881788084702</v>
      </c>
    </row>
    <row r="7" spans="1:37" ht="18">
      <c r="A7" s="35">
        <v>1202</v>
      </c>
      <c r="B7" s="30" t="s">
        <v>3</v>
      </c>
      <c r="C7" s="16">
        <v>475314.14</v>
      </c>
      <c r="D7" s="16">
        <v>3481478.2</v>
      </c>
      <c r="E7" s="16">
        <v>5184662.87</v>
      </c>
      <c r="F7" s="16">
        <v>5236288.29</v>
      </c>
      <c r="G7" s="16"/>
      <c r="H7" s="16"/>
      <c r="I7" s="16"/>
      <c r="J7" s="16"/>
      <c r="K7" s="16"/>
      <c r="L7" s="16"/>
      <c r="M7" s="16"/>
      <c r="N7" s="16"/>
      <c r="O7" s="16">
        <f t="shared" si="0"/>
        <v>14377743.5</v>
      </c>
      <c r="P7" s="178">
        <v>16298050</v>
      </c>
      <c r="Q7" s="178">
        <f t="shared" si="1"/>
        <v>1920306.5</v>
      </c>
      <c r="R7" s="150">
        <f>+Q7/P7</f>
        <v>0.11782431027024705</v>
      </c>
      <c r="S7" s="34"/>
      <c r="T7" s="35">
        <v>1202</v>
      </c>
      <c r="U7" s="30" t="s">
        <v>3</v>
      </c>
      <c r="V7" s="16">
        <f aca="true" t="shared" si="4" ref="V7:V24">F7</f>
        <v>5236288.29</v>
      </c>
      <c r="W7" s="215">
        <f t="shared" si="2"/>
        <v>0.044272425439770974</v>
      </c>
      <c r="X7" s="16">
        <v>5824400</v>
      </c>
      <c r="Y7" s="16">
        <f t="shared" si="3"/>
        <v>588111.71</v>
      </c>
      <c r="Z7" s="37">
        <f aca="true" t="shared" si="5" ref="Z7:Z20">+Y7/X7</f>
        <v>0.10097378442414669</v>
      </c>
      <c r="AB7" s="35">
        <v>1202</v>
      </c>
      <c r="AC7" s="30" t="s">
        <v>3</v>
      </c>
      <c r="AD7" s="38">
        <f aca="true" t="shared" si="6" ref="AD7:AD24">+O7</f>
        <v>14377743.5</v>
      </c>
      <c r="AE7" s="38">
        <v>52932700</v>
      </c>
      <c r="AF7" s="205">
        <v>-8082325</v>
      </c>
      <c r="AG7" s="38">
        <f aca="true" t="shared" si="7" ref="AG7:AG24">AE7+AF7</f>
        <v>44850375</v>
      </c>
      <c r="AH7" s="38">
        <f>AI7-AG7</f>
        <v>32000</v>
      </c>
      <c r="AI7" s="38">
        <v>44882375</v>
      </c>
      <c r="AJ7" s="38">
        <f aca="true" t="shared" si="8" ref="AJ7:AJ24">AI7-AD7</f>
        <v>30504631.5</v>
      </c>
      <c r="AK7" s="164">
        <f aca="true" t="shared" si="9" ref="AK7:AK24">+AJ7/AI7</f>
        <v>0.6796572485301858</v>
      </c>
    </row>
    <row r="8" spans="1:37" s="26" customFormat="1" ht="18">
      <c r="A8" s="306" t="s">
        <v>166</v>
      </c>
      <c r="B8" s="307" t="s">
        <v>167</v>
      </c>
      <c r="C8" s="241">
        <v>6401650.59</v>
      </c>
      <c r="D8" s="241">
        <v>15771231.37</v>
      </c>
      <c r="E8" s="241">
        <f>20217878.24-3542.7</f>
        <v>20214335.54</v>
      </c>
      <c r="F8" s="241">
        <v>20621753.12</v>
      </c>
      <c r="G8" s="241"/>
      <c r="H8" s="241"/>
      <c r="I8" s="241"/>
      <c r="J8" s="241"/>
      <c r="K8" s="241"/>
      <c r="L8" s="241"/>
      <c r="M8" s="241"/>
      <c r="N8" s="241"/>
      <c r="O8" s="241">
        <f t="shared" si="0"/>
        <v>63008970.620000005</v>
      </c>
      <c r="P8" s="241">
        <v>68888005.48506667</v>
      </c>
      <c r="Q8" s="241">
        <f t="shared" si="1"/>
        <v>5879034.865066662</v>
      </c>
      <c r="R8" s="308">
        <f>+Q8/P8</f>
        <v>0.08534192307746669</v>
      </c>
      <c r="S8" s="34"/>
      <c r="T8" s="306" t="s">
        <v>166</v>
      </c>
      <c r="U8" s="307" t="s">
        <v>167</v>
      </c>
      <c r="V8" s="241">
        <f t="shared" si="4"/>
        <v>20621753.12</v>
      </c>
      <c r="W8" s="309">
        <f t="shared" si="2"/>
        <v>0.17435537863454123</v>
      </c>
      <c r="X8" s="241">
        <v>21778042.16626667</v>
      </c>
      <c r="Y8" s="241">
        <f t="shared" si="3"/>
        <v>1156289.0462666675</v>
      </c>
      <c r="Z8" s="310">
        <f t="shared" si="5"/>
        <v>0.05309426060611242</v>
      </c>
      <c r="AB8" s="306" t="s">
        <v>166</v>
      </c>
      <c r="AC8" s="307" t="s">
        <v>167</v>
      </c>
      <c r="AD8" s="311">
        <f t="shared" si="6"/>
        <v>63008970.620000005</v>
      </c>
      <c r="AE8" s="311">
        <v>217680164</v>
      </c>
      <c r="AF8" s="312">
        <v>-51505942</v>
      </c>
      <c r="AG8" s="311">
        <f t="shared" si="7"/>
        <v>166174222</v>
      </c>
      <c r="AH8" s="311">
        <f aca="true" t="shared" si="10" ref="AH8:AH24">AI8-AG8</f>
        <v>19690</v>
      </c>
      <c r="AI8" s="311">
        <v>166193912</v>
      </c>
      <c r="AJ8" s="311">
        <f t="shared" si="8"/>
        <v>103184941.38</v>
      </c>
      <c r="AK8" s="313">
        <f t="shared" si="9"/>
        <v>0.6208707655909802</v>
      </c>
    </row>
    <row r="9" spans="1:37" ht="18">
      <c r="A9" s="35" t="s">
        <v>239</v>
      </c>
      <c r="B9" s="30" t="s">
        <v>240</v>
      </c>
      <c r="C9" s="16">
        <v>1851220.72</v>
      </c>
      <c r="D9" s="16">
        <v>1860225.99</v>
      </c>
      <c r="E9" s="16">
        <v>1866758.42</v>
      </c>
      <c r="F9" s="16">
        <v>1867228.77</v>
      </c>
      <c r="G9" s="16"/>
      <c r="H9" s="16"/>
      <c r="I9" s="16"/>
      <c r="J9" s="16"/>
      <c r="K9" s="16"/>
      <c r="L9" s="16"/>
      <c r="M9" s="16"/>
      <c r="N9" s="16"/>
      <c r="O9" s="16">
        <f t="shared" si="0"/>
        <v>7445433.9</v>
      </c>
      <c r="P9" s="16">
        <v>7667887.3162704</v>
      </c>
      <c r="Q9" s="16">
        <f t="shared" si="1"/>
        <v>222453.41627039947</v>
      </c>
      <c r="R9" s="150">
        <f>+Q9/P9</f>
        <v>0.029011043993614535</v>
      </c>
      <c r="S9" s="34"/>
      <c r="T9" s="35" t="s">
        <v>239</v>
      </c>
      <c r="U9" s="30" t="s">
        <v>240</v>
      </c>
      <c r="V9" s="16">
        <f t="shared" si="4"/>
        <v>1867228.77</v>
      </c>
      <c r="W9" s="215">
        <f t="shared" si="2"/>
        <v>0.01578727944691148</v>
      </c>
      <c r="X9" s="16">
        <v>1916971.8290676</v>
      </c>
      <c r="Y9" s="16">
        <f t="shared" si="3"/>
        <v>49743.05906759994</v>
      </c>
      <c r="Z9" s="37">
        <f t="shared" si="5"/>
        <v>0.025948768945548133</v>
      </c>
      <c r="AB9" s="35" t="s">
        <v>239</v>
      </c>
      <c r="AC9" s="30" t="s">
        <v>240</v>
      </c>
      <c r="AD9" s="38">
        <f t="shared" si="6"/>
        <v>7445433.9</v>
      </c>
      <c r="AE9" s="38">
        <v>22372180</v>
      </c>
      <c r="AF9" s="205">
        <v>353175</v>
      </c>
      <c r="AG9" s="38">
        <f t="shared" si="7"/>
        <v>22725355</v>
      </c>
      <c r="AH9" s="38">
        <f t="shared" si="10"/>
        <v>278307</v>
      </c>
      <c r="AI9" s="38">
        <v>23003662</v>
      </c>
      <c r="AJ9" s="38">
        <f t="shared" si="8"/>
        <v>15558228.1</v>
      </c>
      <c r="AK9" s="164">
        <f t="shared" si="9"/>
        <v>0.6763370153847679</v>
      </c>
    </row>
    <row r="10" spans="1:37" s="26" customFormat="1" ht="18">
      <c r="A10" s="306">
        <v>1311</v>
      </c>
      <c r="B10" s="307" t="s">
        <v>88</v>
      </c>
      <c r="C10" s="241">
        <v>0</v>
      </c>
      <c r="D10" s="241">
        <v>304.18</v>
      </c>
      <c r="E10" s="241">
        <v>618526.36</v>
      </c>
      <c r="F10" s="241">
        <v>6687.66</v>
      </c>
      <c r="G10" s="241"/>
      <c r="H10" s="241"/>
      <c r="I10" s="241"/>
      <c r="J10" s="241"/>
      <c r="K10" s="241"/>
      <c r="L10" s="241"/>
      <c r="M10" s="241"/>
      <c r="N10" s="241"/>
      <c r="O10" s="241">
        <f t="shared" si="0"/>
        <v>625518.2000000001</v>
      </c>
      <c r="P10" s="241">
        <v>478106.1147801601</v>
      </c>
      <c r="Q10" s="241">
        <f t="shared" si="1"/>
        <v>-147412.08521984</v>
      </c>
      <c r="R10" s="308"/>
      <c r="S10" s="34"/>
      <c r="T10" s="306">
        <v>1311</v>
      </c>
      <c r="U10" s="307" t="s">
        <v>88</v>
      </c>
      <c r="V10" s="241">
        <f t="shared" si="4"/>
        <v>6687.66</v>
      </c>
      <c r="W10" s="309">
        <f t="shared" si="2"/>
        <v>5.654366458049596E-05</v>
      </c>
      <c r="X10" s="241">
        <v>478106.1147801601</v>
      </c>
      <c r="Y10" s="241">
        <f t="shared" si="3"/>
        <v>471418.4547801601</v>
      </c>
      <c r="Z10" s="310">
        <f t="shared" si="5"/>
        <v>0.9860121847571954</v>
      </c>
      <c r="AB10" s="306">
        <v>1311</v>
      </c>
      <c r="AC10" s="307" t="s">
        <v>88</v>
      </c>
      <c r="AD10" s="311">
        <f t="shared" si="6"/>
        <v>625518.2000000001</v>
      </c>
      <c r="AE10" s="311">
        <v>4139168</v>
      </c>
      <c r="AF10" s="312">
        <v>-682450</v>
      </c>
      <c r="AG10" s="311">
        <f t="shared" si="7"/>
        <v>3456718</v>
      </c>
      <c r="AH10" s="311">
        <f t="shared" si="10"/>
        <v>1134</v>
      </c>
      <c r="AI10" s="311">
        <v>3457852</v>
      </c>
      <c r="AJ10" s="311">
        <f t="shared" si="8"/>
        <v>2832333.8</v>
      </c>
      <c r="AK10" s="313">
        <f t="shared" si="9"/>
        <v>0.8191020899679916</v>
      </c>
    </row>
    <row r="11" spans="1:37" ht="18">
      <c r="A11" s="35">
        <v>1312</v>
      </c>
      <c r="B11" s="30" t="s">
        <v>4</v>
      </c>
      <c r="C11" s="16">
        <v>0</v>
      </c>
      <c r="D11" s="16">
        <v>3041.75</v>
      </c>
      <c r="E11" s="16">
        <v>4978.69</v>
      </c>
      <c r="F11" s="16">
        <v>97880.02</v>
      </c>
      <c r="G11" s="16"/>
      <c r="H11" s="16"/>
      <c r="I11" s="16"/>
      <c r="J11" s="16"/>
      <c r="K11" s="16"/>
      <c r="L11" s="16"/>
      <c r="M11" s="16"/>
      <c r="N11" s="16"/>
      <c r="O11" s="16">
        <f t="shared" si="0"/>
        <v>105900.46</v>
      </c>
      <c r="P11" s="16">
        <v>0</v>
      </c>
      <c r="Q11" s="16">
        <f t="shared" si="1"/>
        <v>-105900.46</v>
      </c>
      <c r="R11" s="150"/>
      <c r="S11" s="34"/>
      <c r="T11" s="35">
        <v>1312</v>
      </c>
      <c r="U11" s="30" t="s">
        <v>4</v>
      </c>
      <c r="V11" s="16">
        <f t="shared" si="4"/>
        <v>97880.02</v>
      </c>
      <c r="W11" s="215">
        <f t="shared" si="2"/>
        <v>0.0008275682406121478</v>
      </c>
      <c r="X11" s="16">
        <v>0</v>
      </c>
      <c r="Y11" s="178">
        <f t="shared" si="3"/>
        <v>-97880.02</v>
      </c>
      <c r="Z11" s="37"/>
      <c r="AB11" s="35">
        <v>1312</v>
      </c>
      <c r="AC11" s="30" t="s">
        <v>4</v>
      </c>
      <c r="AD11" s="38">
        <f t="shared" si="6"/>
        <v>105900.46</v>
      </c>
      <c r="AE11" s="38">
        <v>41391682</v>
      </c>
      <c r="AF11" s="205">
        <v>-6824506</v>
      </c>
      <c r="AG11" s="38">
        <f t="shared" si="7"/>
        <v>34567176</v>
      </c>
      <c r="AH11" s="38">
        <f t="shared" si="10"/>
        <v>11343</v>
      </c>
      <c r="AI11" s="38">
        <v>34578519</v>
      </c>
      <c r="AJ11" s="38">
        <f t="shared" si="8"/>
        <v>34472618.54</v>
      </c>
      <c r="AK11" s="164">
        <f t="shared" si="9"/>
        <v>0.996937391679499</v>
      </c>
    </row>
    <row r="12" spans="1:37" s="26" customFormat="1" ht="18">
      <c r="A12" s="306" t="s">
        <v>241</v>
      </c>
      <c r="B12" s="307" t="s">
        <v>247</v>
      </c>
      <c r="C12" s="241">
        <v>0</v>
      </c>
      <c r="D12" s="241"/>
      <c r="E12" s="241"/>
      <c r="F12" s="241"/>
      <c r="G12" s="241"/>
      <c r="H12" s="241"/>
      <c r="I12" s="241"/>
      <c r="J12" s="241"/>
      <c r="K12" s="241"/>
      <c r="L12" s="241"/>
      <c r="M12" s="241"/>
      <c r="N12" s="241"/>
      <c r="O12" s="241">
        <f t="shared" si="0"/>
        <v>0</v>
      </c>
      <c r="P12" s="241">
        <v>200000</v>
      </c>
      <c r="Q12" s="241">
        <f t="shared" si="1"/>
        <v>200000</v>
      </c>
      <c r="R12" s="308">
        <f aca="true" t="shared" si="11" ref="R12:R17">+Q12/P12</f>
        <v>1</v>
      </c>
      <c r="S12" s="34"/>
      <c r="T12" s="306" t="s">
        <v>241</v>
      </c>
      <c r="U12" s="307" t="s">
        <v>247</v>
      </c>
      <c r="V12" s="241">
        <f t="shared" si="4"/>
        <v>0</v>
      </c>
      <c r="W12" s="309">
        <f t="shared" si="2"/>
        <v>0</v>
      </c>
      <c r="X12" s="241">
        <v>0</v>
      </c>
      <c r="Y12" s="241">
        <f t="shared" si="3"/>
        <v>0</v>
      </c>
      <c r="Z12" s="310"/>
      <c r="AB12" s="306" t="s">
        <v>241</v>
      </c>
      <c r="AC12" s="307" t="s">
        <v>242</v>
      </c>
      <c r="AD12" s="311">
        <f t="shared" si="6"/>
        <v>0</v>
      </c>
      <c r="AE12" s="311">
        <v>200000</v>
      </c>
      <c r="AF12" s="312"/>
      <c r="AG12" s="311">
        <f t="shared" si="7"/>
        <v>200000</v>
      </c>
      <c r="AH12" s="311">
        <f t="shared" si="10"/>
        <v>0</v>
      </c>
      <c r="AI12" s="311">
        <v>200000</v>
      </c>
      <c r="AJ12" s="311">
        <f t="shared" si="8"/>
        <v>200000</v>
      </c>
      <c r="AK12" s="313">
        <f t="shared" si="9"/>
        <v>1</v>
      </c>
    </row>
    <row r="13" spans="1:37" ht="18">
      <c r="A13" s="35">
        <v>1325</v>
      </c>
      <c r="B13" s="30" t="s">
        <v>135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>
        <f t="shared" si="0"/>
        <v>0</v>
      </c>
      <c r="P13" s="16">
        <v>0</v>
      </c>
      <c r="Q13" s="16">
        <f>P13-O13</f>
        <v>0</v>
      </c>
      <c r="R13" s="150"/>
      <c r="S13" s="34"/>
      <c r="T13" s="35">
        <v>1325</v>
      </c>
      <c r="U13" s="30" t="s">
        <v>135</v>
      </c>
      <c r="V13" s="16">
        <f t="shared" si="4"/>
        <v>0</v>
      </c>
      <c r="W13" s="215">
        <f t="shared" si="2"/>
        <v>0</v>
      </c>
      <c r="X13" s="16">
        <v>0</v>
      </c>
      <c r="Y13" s="16">
        <f t="shared" si="3"/>
        <v>0</v>
      </c>
      <c r="Z13" s="37" t="s">
        <v>138</v>
      </c>
      <c r="AB13" s="35">
        <v>1325</v>
      </c>
      <c r="AC13" s="30" t="s">
        <v>135</v>
      </c>
      <c r="AD13" s="38">
        <f t="shared" si="6"/>
        <v>0</v>
      </c>
      <c r="AE13" s="38">
        <v>3268051</v>
      </c>
      <c r="AF13" s="205">
        <v>-378605</v>
      </c>
      <c r="AG13" s="38">
        <f t="shared" si="7"/>
        <v>2889446</v>
      </c>
      <c r="AH13" s="38">
        <f t="shared" si="10"/>
        <v>1832</v>
      </c>
      <c r="AI13" s="38">
        <v>2891278</v>
      </c>
      <c r="AJ13" s="38">
        <f t="shared" si="8"/>
        <v>2891278</v>
      </c>
      <c r="AK13" s="164">
        <f t="shared" si="9"/>
        <v>1</v>
      </c>
    </row>
    <row r="14" spans="1:37" s="26" customFormat="1" ht="18">
      <c r="A14" s="306">
        <v>1401</v>
      </c>
      <c r="B14" s="307" t="s">
        <v>5</v>
      </c>
      <c r="C14" s="241">
        <v>473089.3</v>
      </c>
      <c r="D14" s="241">
        <v>474246.48</v>
      </c>
      <c r="E14" s="241">
        <v>475603.32</v>
      </c>
      <c r="F14" s="241">
        <v>475701.01</v>
      </c>
      <c r="G14" s="241"/>
      <c r="H14" s="241"/>
      <c r="I14" s="241"/>
      <c r="J14" s="241"/>
      <c r="K14" s="241"/>
      <c r="L14" s="241"/>
      <c r="M14" s="241"/>
      <c r="N14" s="241"/>
      <c r="O14" s="241">
        <f t="shared" si="0"/>
        <v>1898640.11</v>
      </c>
      <c r="P14" s="241">
        <v>1720098.7848</v>
      </c>
      <c r="Q14" s="241">
        <f t="shared" si="1"/>
        <v>-178541.32520000008</v>
      </c>
      <c r="R14" s="308">
        <f t="shared" si="11"/>
        <v>-0.10379713466326267</v>
      </c>
      <c r="S14" s="34"/>
      <c r="T14" s="306">
        <v>1401</v>
      </c>
      <c r="U14" s="307" t="s">
        <v>5</v>
      </c>
      <c r="V14" s="241">
        <f t="shared" si="4"/>
        <v>475701.01</v>
      </c>
      <c r="W14" s="309">
        <f t="shared" si="2"/>
        <v>0.004022016422791104</v>
      </c>
      <c r="X14" s="241">
        <v>430534.19430000003</v>
      </c>
      <c r="Y14" s="326">
        <f t="shared" si="3"/>
        <v>-45166.81569999998</v>
      </c>
      <c r="Z14" s="310">
        <f t="shared" si="5"/>
        <v>-0.10490877681257378</v>
      </c>
      <c r="AB14" s="306">
        <v>1401</v>
      </c>
      <c r="AC14" s="307" t="s">
        <v>5</v>
      </c>
      <c r="AD14" s="311">
        <f t="shared" si="6"/>
        <v>1898640.11</v>
      </c>
      <c r="AE14" s="311">
        <v>5190707</v>
      </c>
      <c r="AF14" s="312">
        <v>-29633</v>
      </c>
      <c r="AG14" s="311">
        <f t="shared" si="7"/>
        <v>5161074</v>
      </c>
      <c r="AH14" s="311">
        <f t="shared" si="10"/>
        <v>3298</v>
      </c>
      <c r="AI14" s="311">
        <v>5164372</v>
      </c>
      <c r="AJ14" s="311">
        <f t="shared" si="8"/>
        <v>3265731.8899999997</v>
      </c>
      <c r="AK14" s="313">
        <f t="shared" si="9"/>
        <v>0.6323579885414915</v>
      </c>
    </row>
    <row r="15" spans="1:37" ht="18">
      <c r="A15" s="35">
        <v>1402</v>
      </c>
      <c r="B15" s="30" t="s">
        <v>6</v>
      </c>
      <c r="C15" s="16">
        <v>157697.05</v>
      </c>
      <c r="D15" s="16">
        <v>158082.78</v>
      </c>
      <c r="E15" s="16">
        <v>158535.06</v>
      </c>
      <c r="F15" s="16">
        <v>158567.62</v>
      </c>
      <c r="G15" s="16"/>
      <c r="H15" s="16"/>
      <c r="I15" s="16"/>
      <c r="J15" s="16"/>
      <c r="K15" s="16"/>
      <c r="L15" s="16"/>
      <c r="M15" s="16"/>
      <c r="N15" s="16"/>
      <c r="O15" s="16">
        <f t="shared" si="0"/>
        <v>632882.51</v>
      </c>
      <c r="P15" s="16">
        <v>688039.51392</v>
      </c>
      <c r="Q15" s="16">
        <f aca="true" t="shared" si="12" ref="Q15:Q41">+P15-O15</f>
        <v>55157.00392000005</v>
      </c>
      <c r="R15" s="150">
        <f t="shared" si="11"/>
        <v>0.08016545969249853</v>
      </c>
      <c r="S15" s="34"/>
      <c r="T15" s="35">
        <v>1402</v>
      </c>
      <c r="U15" s="30" t="s">
        <v>6</v>
      </c>
      <c r="V15" s="16">
        <f t="shared" si="4"/>
        <v>158567.62</v>
      </c>
      <c r="W15" s="215">
        <f t="shared" si="2"/>
        <v>0.0013406773548008634</v>
      </c>
      <c r="X15" s="16">
        <v>172213.67772</v>
      </c>
      <c r="Y15" s="16">
        <f t="shared" si="3"/>
        <v>13646.057720000012</v>
      </c>
      <c r="Z15" s="37">
        <f t="shared" si="5"/>
        <v>0.07923910516670436</v>
      </c>
      <c r="AB15" s="35">
        <v>1402</v>
      </c>
      <c r="AC15" s="30" t="s">
        <v>6</v>
      </c>
      <c r="AD15" s="38">
        <f t="shared" si="6"/>
        <v>632882.51</v>
      </c>
      <c r="AE15" s="38">
        <v>2076283</v>
      </c>
      <c r="AF15" s="205">
        <v>-11853</v>
      </c>
      <c r="AG15" s="38">
        <f t="shared" si="7"/>
        <v>2064430</v>
      </c>
      <c r="AH15" s="38">
        <f t="shared" si="10"/>
        <v>1319</v>
      </c>
      <c r="AI15" s="38">
        <v>2065749</v>
      </c>
      <c r="AJ15" s="38">
        <f t="shared" si="8"/>
        <v>1432866.49</v>
      </c>
      <c r="AK15" s="164">
        <f t="shared" si="9"/>
        <v>0.6936304894737938</v>
      </c>
    </row>
    <row r="16" spans="1:37" s="26" customFormat="1" ht="18">
      <c r="A16" s="306">
        <v>1403</v>
      </c>
      <c r="B16" s="307" t="s">
        <v>7</v>
      </c>
      <c r="C16" s="241"/>
      <c r="D16" s="241"/>
      <c r="E16" s="241">
        <v>976654.16</v>
      </c>
      <c r="F16" s="241">
        <v>13544.73</v>
      </c>
      <c r="G16" s="241"/>
      <c r="H16" s="241"/>
      <c r="I16" s="241"/>
      <c r="J16" s="241"/>
      <c r="K16" s="241"/>
      <c r="L16" s="241"/>
      <c r="M16" s="241"/>
      <c r="N16" s="241"/>
      <c r="O16" s="241">
        <f t="shared" si="0"/>
        <v>990198.89</v>
      </c>
      <c r="P16" s="241">
        <v>1665575</v>
      </c>
      <c r="Q16" s="241">
        <f t="shared" si="12"/>
        <v>675376.11</v>
      </c>
      <c r="R16" s="308">
        <f t="shared" si="11"/>
        <v>0.405491262777119</v>
      </c>
      <c r="S16" s="34"/>
      <c r="T16" s="306">
        <v>1403</v>
      </c>
      <c r="U16" s="307" t="s">
        <v>7</v>
      </c>
      <c r="V16" s="241">
        <f t="shared" si="4"/>
        <v>13544.73</v>
      </c>
      <c r="W16" s="309">
        <f t="shared" si="2"/>
        <v>0.00011451967802690045</v>
      </c>
      <c r="X16" s="241">
        <v>307350</v>
      </c>
      <c r="Y16" s="241">
        <f t="shared" si="3"/>
        <v>293805.27</v>
      </c>
      <c r="Z16" s="310">
        <f t="shared" si="5"/>
        <v>0.9559306002928258</v>
      </c>
      <c r="AB16" s="306">
        <v>1403</v>
      </c>
      <c r="AC16" s="307" t="s">
        <v>7</v>
      </c>
      <c r="AD16" s="311">
        <f t="shared" si="6"/>
        <v>990198.89</v>
      </c>
      <c r="AE16" s="311">
        <v>3111900</v>
      </c>
      <c r="AF16" s="312">
        <v>-597769</v>
      </c>
      <c r="AG16" s="311">
        <f t="shared" si="7"/>
        <v>2514131</v>
      </c>
      <c r="AH16" s="311">
        <f t="shared" si="10"/>
        <v>-4900</v>
      </c>
      <c r="AI16" s="311">
        <v>2509231</v>
      </c>
      <c r="AJ16" s="311">
        <f t="shared" si="8"/>
        <v>1519032.1099999999</v>
      </c>
      <c r="AK16" s="313">
        <f t="shared" si="9"/>
        <v>0.605377547941979</v>
      </c>
    </row>
    <row r="17" spans="1:37" ht="18">
      <c r="A17" s="35">
        <v>1404</v>
      </c>
      <c r="B17" s="30" t="s">
        <v>79</v>
      </c>
      <c r="C17" s="16">
        <v>345490.62</v>
      </c>
      <c r="D17" s="16">
        <v>385144.5</v>
      </c>
      <c r="E17" s="16">
        <v>444312.58</v>
      </c>
      <c r="F17" s="16">
        <v>456045.14</v>
      </c>
      <c r="G17" s="16"/>
      <c r="H17" s="16"/>
      <c r="I17" s="16"/>
      <c r="J17" s="16"/>
      <c r="K17" s="16"/>
      <c r="L17" s="16"/>
      <c r="M17" s="16"/>
      <c r="N17" s="16"/>
      <c r="O17" s="16">
        <f t="shared" si="0"/>
        <v>1630992.8399999999</v>
      </c>
      <c r="P17" s="16">
        <v>1470326.1047</v>
      </c>
      <c r="Q17" s="16">
        <f t="shared" si="12"/>
        <v>-160666.73529999983</v>
      </c>
      <c r="R17" s="150">
        <f t="shared" si="11"/>
        <v>-0.1092728577602053</v>
      </c>
      <c r="S17" s="34"/>
      <c r="T17" s="35">
        <v>1404</v>
      </c>
      <c r="U17" s="30" t="s">
        <v>79</v>
      </c>
      <c r="V17" s="16">
        <f t="shared" si="4"/>
        <v>456045.14</v>
      </c>
      <c r="W17" s="215">
        <f t="shared" si="2"/>
        <v>0.003855827513618414</v>
      </c>
      <c r="X17" s="16">
        <v>389619.7463</v>
      </c>
      <c r="Y17" s="178">
        <f t="shared" si="3"/>
        <v>-66425.39370000002</v>
      </c>
      <c r="Z17" s="37">
        <f t="shared" si="5"/>
        <v>-0.17048774948088408</v>
      </c>
      <c r="AB17" s="35">
        <v>1404</v>
      </c>
      <c r="AC17" s="30" t="s">
        <v>79</v>
      </c>
      <c r="AD17" s="38">
        <f t="shared" si="6"/>
        <v>1630992.8399999999</v>
      </c>
      <c r="AE17" s="38">
        <v>4308899</v>
      </c>
      <c r="AF17" s="205">
        <v>-369481</v>
      </c>
      <c r="AG17" s="38">
        <f t="shared" si="7"/>
        <v>3939418</v>
      </c>
      <c r="AH17" s="38">
        <f t="shared" si="10"/>
        <v>1566</v>
      </c>
      <c r="AI17" s="38">
        <v>3940984</v>
      </c>
      <c r="AJ17" s="38">
        <f t="shared" si="8"/>
        <v>2309991.16</v>
      </c>
      <c r="AK17" s="164">
        <f t="shared" si="9"/>
        <v>0.5861457849105706</v>
      </c>
    </row>
    <row r="18" spans="1:37" s="26" customFormat="1" ht="18">
      <c r="A18" s="306">
        <v>1405</v>
      </c>
      <c r="B18" s="307" t="s">
        <v>71</v>
      </c>
      <c r="C18" s="241">
        <v>83731.37</v>
      </c>
      <c r="D18" s="241">
        <v>84298.65</v>
      </c>
      <c r="E18" s="241">
        <v>84290.04</v>
      </c>
      <c r="F18" s="241">
        <v>84311.75</v>
      </c>
      <c r="G18" s="241"/>
      <c r="H18" s="241"/>
      <c r="I18" s="241"/>
      <c r="J18" s="241"/>
      <c r="K18" s="241"/>
      <c r="L18" s="241"/>
      <c r="M18" s="241"/>
      <c r="N18" s="241"/>
      <c r="O18" s="241">
        <f t="shared" si="0"/>
        <v>336631.81</v>
      </c>
      <c r="P18" s="241">
        <v>458693.00928</v>
      </c>
      <c r="Q18" s="241">
        <f t="shared" si="12"/>
        <v>122061.19928</v>
      </c>
      <c r="R18" s="308">
        <f aca="true" t="shared" si="13" ref="R18:R41">+Q18/P18</f>
        <v>0.2661065174540085</v>
      </c>
      <c r="S18" s="34"/>
      <c r="T18" s="306">
        <v>1405</v>
      </c>
      <c r="U18" s="307" t="s">
        <v>71</v>
      </c>
      <c r="V18" s="241">
        <f t="shared" si="4"/>
        <v>84311.75</v>
      </c>
      <c r="W18" s="309">
        <f t="shared" si="2"/>
        <v>0.0007128495336477378</v>
      </c>
      <c r="X18" s="241">
        <v>114809.11848</v>
      </c>
      <c r="Y18" s="241">
        <f t="shared" si="3"/>
        <v>30497.368480000005</v>
      </c>
      <c r="Z18" s="310">
        <f t="shared" si="5"/>
        <v>0.2656354206335337</v>
      </c>
      <c r="AB18" s="306">
        <v>1405</v>
      </c>
      <c r="AC18" s="307" t="s">
        <v>258</v>
      </c>
      <c r="AD18" s="311">
        <f t="shared" si="6"/>
        <v>336631.81</v>
      </c>
      <c r="AE18" s="311">
        <v>1384189</v>
      </c>
      <c r="AF18" s="312">
        <v>-7903</v>
      </c>
      <c r="AG18" s="311">
        <f t="shared" si="7"/>
        <v>1376286</v>
      </c>
      <c r="AH18" s="311">
        <f t="shared" si="10"/>
        <v>880</v>
      </c>
      <c r="AI18" s="311">
        <v>1377166</v>
      </c>
      <c r="AJ18" s="311">
        <f t="shared" si="8"/>
        <v>1040534.19</v>
      </c>
      <c r="AK18" s="313">
        <f t="shared" si="9"/>
        <v>0.7555619220921805</v>
      </c>
    </row>
    <row r="19" spans="1:37" ht="18">
      <c r="A19" s="35" t="s">
        <v>211</v>
      </c>
      <c r="B19" s="30" t="s">
        <v>212</v>
      </c>
      <c r="C19" s="16"/>
      <c r="D19" s="16"/>
      <c r="E19" s="16">
        <v>0</v>
      </c>
      <c r="F19" s="16"/>
      <c r="G19" s="16"/>
      <c r="H19" s="16"/>
      <c r="I19" s="16"/>
      <c r="J19" s="16"/>
      <c r="K19" s="16"/>
      <c r="L19" s="16"/>
      <c r="M19" s="16"/>
      <c r="N19" s="16"/>
      <c r="O19" s="16">
        <f>+D19+C19+E19+F19+G19+H19+I19+J19+K19+L19+M19+N19</f>
        <v>0</v>
      </c>
      <c r="P19" s="16">
        <v>1000000</v>
      </c>
      <c r="Q19" s="16">
        <f>+P19-O19</f>
        <v>1000000</v>
      </c>
      <c r="R19" s="150">
        <f t="shared" si="13"/>
        <v>1</v>
      </c>
      <c r="S19" s="34"/>
      <c r="T19" s="35" t="s">
        <v>211</v>
      </c>
      <c r="U19" s="30" t="s">
        <v>212</v>
      </c>
      <c r="V19" s="16">
        <f t="shared" si="4"/>
        <v>0</v>
      </c>
      <c r="W19" s="215">
        <f t="shared" si="2"/>
        <v>0</v>
      </c>
      <c r="X19" s="16">
        <v>0</v>
      </c>
      <c r="Y19" s="16">
        <f t="shared" si="3"/>
        <v>0</v>
      </c>
      <c r="Z19" s="37"/>
      <c r="AB19" s="35" t="s">
        <v>211</v>
      </c>
      <c r="AC19" s="30" t="s">
        <v>212</v>
      </c>
      <c r="AD19" s="38">
        <f t="shared" si="6"/>
        <v>0</v>
      </c>
      <c r="AE19" s="38">
        <v>1000000</v>
      </c>
      <c r="AF19" s="205"/>
      <c r="AG19" s="38">
        <f t="shared" si="7"/>
        <v>1000000</v>
      </c>
      <c r="AH19" s="38">
        <f t="shared" si="10"/>
        <v>0</v>
      </c>
      <c r="AI19" s="38">
        <v>1000000</v>
      </c>
      <c r="AJ19" s="38">
        <f t="shared" si="8"/>
        <v>1000000</v>
      </c>
      <c r="AK19" s="164">
        <f t="shared" si="9"/>
        <v>1</v>
      </c>
    </row>
    <row r="20" spans="1:37" s="26" customFormat="1" ht="18">
      <c r="A20" s="306" t="s">
        <v>226</v>
      </c>
      <c r="B20" s="307" t="s">
        <v>227</v>
      </c>
      <c r="C20" s="241">
        <v>34500</v>
      </c>
      <c r="D20" s="241">
        <v>33750</v>
      </c>
      <c r="E20" s="241">
        <v>35250</v>
      </c>
      <c r="F20" s="241">
        <v>39000</v>
      </c>
      <c r="G20" s="241"/>
      <c r="H20" s="241"/>
      <c r="I20" s="241"/>
      <c r="J20" s="241"/>
      <c r="K20" s="241"/>
      <c r="L20" s="241"/>
      <c r="M20" s="241"/>
      <c r="N20" s="241"/>
      <c r="O20" s="241">
        <f t="shared" si="0"/>
        <v>142500</v>
      </c>
      <c r="P20" s="241">
        <v>300000</v>
      </c>
      <c r="Q20" s="241">
        <f t="shared" si="12"/>
        <v>157500</v>
      </c>
      <c r="R20" s="308">
        <f>+Q20/P20</f>
        <v>0.525</v>
      </c>
      <c r="S20" s="34"/>
      <c r="T20" s="306" t="s">
        <v>226</v>
      </c>
      <c r="U20" s="307" t="s">
        <v>227</v>
      </c>
      <c r="V20" s="241">
        <f t="shared" si="4"/>
        <v>39000</v>
      </c>
      <c r="W20" s="309">
        <f t="shared" si="2"/>
        <v>0.00032974207998602535</v>
      </c>
      <c r="X20" s="241">
        <v>75000</v>
      </c>
      <c r="Y20" s="241">
        <f t="shared" si="3"/>
        <v>36000</v>
      </c>
      <c r="Z20" s="310">
        <f t="shared" si="5"/>
        <v>0.48</v>
      </c>
      <c r="AB20" s="306" t="s">
        <v>226</v>
      </c>
      <c r="AC20" s="307" t="s">
        <v>227</v>
      </c>
      <c r="AD20" s="311">
        <f t="shared" si="6"/>
        <v>142500</v>
      </c>
      <c r="AE20" s="311">
        <v>900000</v>
      </c>
      <c r="AF20" s="312"/>
      <c r="AG20" s="311">
        <f t="shared" si="7"/>
        <v>900000</v>
      </c>
      <c r="AH20" s="311">
        <f t="shared" si="10"/>
        <v>0</v>
      </c>
      <c r="AI20" s="311">
        <v>900000</v>
      </c>
      <c r="AJ20" s="311">
        <f t="shared" si="8"/>
        <v>757500</v>
      </c>
      <c r="AK20" s="313">
        <f t="shared" si="9"/>
        <v>0.8416666666666667</v>
      </c>
    </row>
    <row r="21" spans="1:37" ht="18">
      <c r="A21" s="35" t="s">
        <v>285</v>
      </c>
      <c r="B21" s="30" t="s">
        <v>286</v>
      </c>
      <c r="C21" s="16"/>
      <c r="D21" s="16"/>
      <c r="E21" s="16">
        <v>1986.36</v>
      </c>
      <c r="F21" s="16"/>
      <c r="G21" s="16"/>
      <c r="H21" s="16"/>
      <c r="I21" s="16"/>
      <c r="J21" s="16"/>
      <c r="K21" s="16"/>
      <c r="L21" s="16"/>
      <c r="M21" s="16"/>
      <c r="N21" s="16"/>
      <c r="O21" s="16">
        <f>+D21+C21+E21+F21+G21+H21+I21+J21+K21+L21+M21+N21</f>
        <v>1986.36</v>
      </c>
      <c r="P21" s="16">
        <v>0</v>
      </c>
      <c r="Q21" s="16">
        <f>+P21-O21</f>
        <v>-1986.36</v>
      </c>
      <c r="R21" s="150"/>
      <c r="S21" s="34"/>
      <c r="T21" s="35" t="s">
        <v>285</v>
      </c>
      <c r="U21" s="30" t="s">
        <v>286</v>
      </c>
      <c r="V21" s="16">
        <f t="shared" si="4"/>
        <v>0</v>
      </c>
      <c r="W21" s="215">
        <f t="shared" si="2"/>
        <v>0</v>
      </c>
      <c r="X21" s="16"/>
      <c r="Y21" s="178">
        <f t="shared" si="3"/>
        <v>0</v>
      </c>
      <c r="Z21" s="37"/>
      <c r="AB21" s="35" t="s">
        <v>285</v>
      </c>
      <c r="AC21" s="30" t="s">
        <v>286</v>
      </c>
      <c r="AD21" s="38">
        <f t="shared" si="6"/>
        <v>1986.36</v>
      </c>
      <c r="AE21" s="38">
        <v>0</v>
      </c>
      <c r="AF21" s="205"/>
      <c r="AG21" s="38">
        <f t="shared" si="7"/>
        <v>0</v>
      </c>
      <c r="AH21" s="38">
        <v>0</v>
      </c>
      <c r="AI21" s="38">
        <v>0</v>
      </c>
      <c r="AJ21" s="38">
        <f t="shared" si="8"/>
        <v>-1986.36</v>
      </c>
      <c r="AK21" s="164"/>
    </row>
    <row r="22" spans="1:37" s="26" customFormat="1" ht="18">
      <c r="A22" s="306">
        <v>1601</v>
      </c>
      <c r="B22" s="307" t="s">
        <v>76</v>
      </c>
      <c r="C22" s="241">
        <v>145467</v>
      </c>
      <c r="D22" s="241">
        <v>146232.37</v>
      </c>
      <c r="E22" s="241">
        <v>146789.5</v>
      </c>
      <c r="F22" s="241">
        <v>146812.87</v>
      </c>
      <c r="G22" s="241"/>
      <c r="H22" s="241"/>
      <c r="I22" s="241"/>
      <c r="J22" s="241"/>
      <c r="K22" s="241"/>
      <c r="L22" s="241"/>
      <c r="M22" s="241"/>
      <c r="N22" s="241"/>
      <c r="O22" s="241">
        <f t="shared" si="0"/>
        <v>585301.74</v>
      </c>
      <c r="P22" s="241">
        <v>606718.0799999998</v>
      </c>
      <c r="Q22" s="241">
        <f t="shared" si="12"/>
        <v>21416.33999999985</v>
      </c>
      <c r="R22" s="308">
        <f t="shared" si="13"/>
        <v>0.035298667875531015</v>
      </c>
      <c r="S22" s="34"/>
      <c r="T22" s="306">
        <v>1601</v>
      </c>
      <c r="U22" s="307" t="s">
        <v>76</v>
      </c>
      <c r="V22" s="241">
        <f t="shared" si="4"/>
        <v>146812.87</v>
      </c>
      <c r="W22" s="309">
        <f t="shared" si="2"/>
        <v>0.0012412918236543063</v>
      </c>
      <c r="X22" s="241">
        <v>151679.51999999996</v>
      </c>
      <c r="Y22" s="241">
        <f t="shared" si="3"/>
        <v>4866.649999999965</v>
      </c>
      <c r="Z22" s="310">
        <f>+Y22/X23</f>
        <v>0.03774665064548517</v>
      </c>
      <c r="AB22" s="306">
        <v>1601</v>
      </c>
      <c r="AC22" s="307" t="s">
        <v>76</v>
      </c>
      <c r="AD22" s="311">
        <f t="shared" si="6"/>
        <v>585301.74</v>
      </c>
      <c r="AE22" s="311">
        <v>2496560</v>
      </c>
      <c r="AF22" s="312">
        <v>172710</v>
      </c>
      <c r="AG22" s="311">
        <f t="shared" si="7"/>
        <v>2669270</v>
      </c>
      <c r="AH22" s="311">
        <f t="shared" si="10"/>
        <v>880</v>
      </c>
      <c r="AI22" s="311">
        <v>2670150</v>
      </c>
      <c r="AJ22" s="311">
        <f t="shared" si="8"/>
        <v>2084848.26</v>
      </c>
      <c r="AK22" s="313">
        <f t="shared" si="9"/>
        <v>0.780798179877535</v>
      </c>
    </row>
    <row r="23" spans="1:37" ht="18">
      <c r="A23" s="35">
        <v>1602</v>
      </c>
      <c r="B23" s="30" t="s">
        <v>8</v>
      </c>
      <c r="C23" s="16">
        <v>122899</v>
      </c>
      <c r="D23" s="16">
        <v>123379.58</v>
      </c>
      <c r="E23" s="16">
        <v>123771.62</v>
      </c>
      <c r="F23" s="16">
        <v>123787.83</v>
      </c>
      <c r="G23" s="16"/>
      <c r="H23" s="16"/>
      <c r="I23" s="16"/>
      <c r="J23" s="16"/>
      <c r="K23" s="16"/>
      <c r="L23" s="16"/>
      <c r="M23" s="16"/>
      <c r="N23" s="16"/>
      <c r="O23" s="16">
        <f>+D23+C23+E23+F23+G23+H23+I23+J23+K23+L23+M23+N23</f>
        <v>493838.03</v>
      </c>
      <c r="P23" s="16">
        <v>515717.2800000001</v>
      </c>
      <c r="Q23" s="16">
        <f>+P23-O23</f>
        <v>21879.25000000006</v>
      </c>
      <c r="R23" s="150">
        <f>+Q23/P23</f>
        <v>0.04242489218123553</v>
      </c>
      <c r="S23" s="34"/>
      <c r="T23" s="35">
        <v>1602</v>
      </c>
      <c r="U23" s="30" t="s">
        <v>8</v>
      </c>
      <c r="V23" s="16">
        <f t="shared" si="4"/>
        <v>123787.83</v>
      </c>
      <c r="W23" s="219">
        <f t="shared" si="2"/>
        <v>0.0010466168343886285</v>
      </c>
      <c r="X23" s="16">
        <v>128929.32000000002</v>
      </c>
      <c r="Y23" s="16">
        <f t="shared" si="3"/>
        <v>5141.49000000002</v>
      </c>
      <c r="Z23" s="37">
        <f>+Y23/X24</f>
        <v>0.12339576000000048</v>
      </c>
      <c r="AB23" s="35">
        <v>1602</v>
      </c>
      <c r="AC23" s="30" t="s">
        <v>8</v>
      </c>
      <c r="AD23" s="38">
        <f t="shared" si="6"/>
        <v>493838.03</v>
      </c>
      <c r="AE23" s="38">
        <v>1542097</v>
      </c>
      <c r="AF23" s="205">
        <v>1642</v>
      </c>
      <c r="AG23" s="38">
        <f t="shared" si="7"/>
        <v>1543739</v>
      </c>
      <c r="AH23" s="38">
        <f t="shared" si="10"/>
        <v>3413</v>
      </c>
      <c r="AI23" s="38">
        <v>1547152</v>
      </c>
      <c r="AJ23" s="38">
        <f t="shared" si="8"/>
        <v>1053313.97</v>
      </c>
      <c r="AK23" s="164">
        <f t="shared" si="9"/>
        <v>0.6808083304032183</v>
      </c>
    </row>
    <row r="24" spans="1:37" s="26" customFormat="1" ht="18">
      <c r="A24" s="306" t="s">
        <v>228</v>
      </c>
      <c r="B24" s="307" t="s">
        <v>229</v>
      </c>
      <c r="C24" s="241"/>
      <c r="D24" s="241"/>
      <c r="E24" s="241"/>
      <c r="F24" s="241"/>
      <c r="G24" s="241"/>
      <c r="H24" s="241"/>
      <c r="I24" s="241"/>
      <c r="J24" s="241"/>
      <c r="K24" s="241"/>
      <c r="L24" s="241"/>
      <c r="M24" s="241"/>
      <c r="N24" s="241"/>
      <c r="O24" s="241">
        <f t="shared" si="0"/>
        <v>0</v>
      </c>
      <c r="P24" s="241">
        <v>166666.66666666666</v>
      </c>
      <c r="Q24" s="241">
        <f t="shared" si="12"/>
        <v>166666.66666666666</v>
      </c>
      <c r="R24" s="308">
        <f t="shared" si="13"/>
        <v>1</v>
      </c>
      <c r="S24" s="34"/>
      <c r="T24" s="306" t="s">
        <v>228</v>
      </c>
      <c r="U24" s="307" t="s">
        <v>229</v>
      </c>
      <c r="V24" s="241">
        <f t="shared" si="4"/>
        <v>0</v>
      </c>
      <c r="W24" s="309">
        <f t="shared" si="2"/>
        <v>0</v>
      </c>
      <c r="X24" s="241">
        <v>41666.666666666664</v>
      </c>
      <c r="Y24" s="241">
        <f t="shared" si="3"/>
        <v>41666.666666666664</v>
      </c>
      <c r="Z24" s="310"/>
      <c r="AB24" s="306" t="s">
        <v>228</v>
      </c>
      <c r="AC24" s="307" t="s">
        <v>259</v>
      </c>
      <c r="AD24" s="311">
        <f t="shared" si="6"/>
        <v>0</v>
      </c>
      <c r="AE24" s="311">
        <v>4500000</v>
      </c>
      <c r="AF24" s="312"/>
      <c r="AG24" s="311">
        <f t="shared" si="7"/>
        <v>4500000</v>
      </c>
      <c r="AH24" s="311">
        <f t="shared" si="10"/>
        <v>-4000000</v>
      </c>
      <c r="AI24" s="311">
        <v>500000</v>
      </c>
      <c r="AJ24" s="311">
        <f t="shared" si="8"/>
        <v>500000</v>
      </c>
      <c r="AK24" s="313">
        <f t="shared" si="9"/>
        <v>1</v>
      </c>
    </row>
    <row r="25" spans="1:37" ht="14.25" customHeight="1" hidden="1">
      <c r="A25" s="35"/>
      <c r="B25" s="30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>
        <v>0</v>
      </c>
      <c r="Q25" s="16"/>
      <c r="R25" s="150"/>
      <c r="S25" s="34"/>
      <c r="T25" s="35"/>
      <c r="U25" s="30"/>
      <c r="V25" s="16">
        <f>E25</f>
        <v>0</v>
      </c>
      <c r="W25" s="42">
        <f t="shared" si="2"/>
        <v>0</v>
      </c>
      <c r="X25" s="16">
        <v>0</v>
      </c>
      <c r="Y25" s="16"/>
      <c r="Z25" s="37"/>
      <c r="AB25" s="35"/>
      <c r="AC25" s="30"/>
      <c r="AD25" s="38">
        <f>+O25</f>
        <v>0</v>
      </c>
      <c r="AE25" s="38"/>
      <c r="AF25" s="38"/>
      <c r="AG25" s="38"/>
      <c r="AH25" s="38"/>
      <c r="AI25" s="38"/>
      <c r="AJ25" s="38"/>
      <c r="AK25" s="166"/>
    </row>
    <row r="26" spans="1:37" ht="20.25" thickBot="1">
      <c r="A26" s="314">
        <v>1000</v>
      </c>
      <c r="B26" s="315" t="s">
        <v>9</v>
      </c>
      <c r="C26" s="316">
        <f>SUM(C6:C25)</f>
        <v>15370128.51</v>
      </c>
      <c r="D26" s="316">
        <f aca="true" t="shared" si="14" ref="D26:N26">SUM(D6:D24)</f>
        <v>27818971.06</v>
      </c>
      <c r="E26" s="316">
        <f t="shared" si="14"/>
        <v>35652506.71999999</v>
      </c>
      <c r="F26" s="316">
        <f t="shared" si="14"/>
        <v>34657875.95999999</v>
      </c>
      <c r="G26" s="316">
        <f t="shared" si="14"/>
        <v>0</v>
      </c>
      <c r="H26" s="316">
        <f t="shared" si="14"/>
        <v>0</v>
      </c>
      <c r="I26" s="316">
        <f t="shared" si="14"/>
        <v>0</v>
      </c>
      <c r="J26" s="316">
        <f t="shared" si="14"/>
        <v>0</v>
      </c>
      <c r="K26" s="316">
        <f t="shared" si="14"/>
        <v>0</v>
      </c>
      <c r="L26" s="316">
        <f t="shared" si="14"/>
        <v>0</v>
      </c>
      <c r="M26" s="316">
        <f t="shared" si="14"/>
        <v>0</v>
      </c>
      <c r="N26" s="316">
        <f t="shared" si="14"/>
        <v>0</v>
      </c>
      <c r="O26" s="316">
        <f>SUM(O6:O25)</f>
        <v>113499482.25000001</v>
      </c>
      <c r="P26" s="316">
        <v>125058535.81948388</v>
      </c>
      <c r="Q26" s="316">
        <f>SUM(Q6:Q24)</f>
        <v>11559053.569483887</v>
      </c>
      <c r="R26" s="317">
        <f>Q26/P26</f>
        <v>0.09242914522978934</v>
      </c>
      <c r="S26" s="46"/>
      <c r="T26" s="314">
        <v>1000</v>
      </c>
      <c r="U26" s="315" t="s">
        <v>9</v>
      </c>
      <c r="V26" s="316">
        <f>SUM(V6:V25)</f>
        <v>34657875.95999999</v>
      </c>
      <c r="W26" s="318">
        <f t="shared" si="2"/>
        <v>0.29302974633200163</v>
      </c>
      <c r="X26" s="316">
        <v>37549778.777581096</v>
      </c>
      <c r="Y26" s="316">
        <f>SUM(Y6:Y24)</f>
        <v>2891902.8175810943</v>
      </c>
      <c r="Z26" s="319">
        <f>+Y26/X26</f>
        <v>0.07701517590052195</v>
      </c>
      <c r="AB26" s="314">
        <v>1000</v>
      </c>
      <c r="AC26" s="315" t="s">
        <v>9</v>
      </c>
      <c r="AD26" s="316">
        <f aca="true" t="shared" si="15" ref="AD26:AJ26">SUM(AD6:AD25)</f>
        <v>113499482.25000001</v>
      </c>
      <c r="AE26" s="316">
        <f t="shared" si="15"/>
        <v>437704019</v>
      </c>
      <c r="AF26" s="320">
        <f t="shared" si="15"/>
        <v>-68358048</v>
      </c>
      <c r="AG26" s="316">
        <f t="shared" si="15"/>
        <v>369345971</v>
      </c>
      <c r="AH26" s="321">
        <f t="shared" si="15"/>
        <v>-3605265</v>
      </c>
      <c r="AI26" s="316">
        <f t="shared" si="15"/>
        <v>365740706</v>
      </c>
      <c r="AJ26" s="316">
        <f t="shared" si="15"/>
        <v>252241223.74999997</v>
      </c>
      <c r="AK26" s="322">
        <f>AJ26/AI26</f>
        <v>0.6896722722189965</v>
      </c>
    </row>
    <row r="27" spans="1:37" ht="14.25" customHeight="1" hidden="1" thickBot="1" thickTop="1">
      <c r="A27" s="131"/>
      <c r="B27" s="132"/>
      <c r="C27" s="133"/>
      <c r="D27" s="133"/>
      <c r="E27" s="133"/>
      <c r="F27" s="133"/>
      <c r="G27" s="133"/>
      <c r="H27" s="133"/>
      <c r="I27" s="133"/>
      <c r="J27" s="133"/>
      <c r="K27" s="133"/>
      <c r="L27" s="133"/>
      <c r="M27" s="133"/>
      <c r="N27" s="133"/>
      <c r="O27" s="133"/>
      <c r="P27" s="133"/>
      <c r="Q27" s="133"/>
      <c r="R27" s="152"/>
      <c r="S27" s="46"/>
      <c r="T27" s="131"/>
      <c r="U27" s="132"/>
      <c r="V27" s="133"/>
      <c r="W27" s="134"/>
      <c r="X27" s="133"/>
      <c r="Y27" s="135"/>
      <c r="Z27" s="136"/>
      <c r="AB27" s="131"/>
      <c r="AC27" s="132"/>
      <c r="AD27" s="133"/>
      <c r="AE27" s="133"/>
      <c r="AF27" s="133"/>
      <c r="AG27" s="133"/>
      <c r="AH27" s="133"/>
      <c r="AI27" s="133"/>
      <c r="AJ27" s="133"/>
      <c r="AK27" s="136"/>
    </row>
    <row r="28" spans="1:37" s="26" customFormat="1" ht="18.75" thickTop="1">
      <c r="A28" s="306">
        <v>2101</v>
      </c>
      <c r="B28" s="307" t="s">
        <v>10</v>
      </c>
      <c r="C28" s="241">
        <v>225029.55</v>
      </c>
      <c r="D28" s="241">
        <v>228452.26</v>
      </c>
      <c r="E28" s="241">
        <v>923621.4</v>
      </c>
      <c r="F28" s="241">
        <v>30628460.09</v>
      </c>
      <c r="G28" s="241"/>
      <c r="H28" s="241"/>
      <c r="I28" s="241"/>
      <c r="J28" s="241"/>
      <c r="K28" s="241"/>
      <c r="L28" s="241"/>
      <c r="M28" s="241"/>
      <c r="N28" s="241"/>
      <c r="O28" s="241">
        <f t="shared" si="0"/>
        <v>32005563.3</v>
      </c>
      <c r="P28" s="241">
        <v>33291996</v>
      </c>
      <c r="Q28" s="241">
        <f t="shared" si="12"/>
        <v>1286432.6999999993</v>
      </c>
      <c r="R28" s="308">
        <f>+Q28/P28</f>
        <v>0.03864090035334617</v>
      </c>
      <c r="S28" s="34"/>
      <c r="T28" s="306">
        <v>2101</v>
      </c>
      <c r="U28" s="307" t="s">
        <v>10</v>
      </c>
      <c r="V28" s="241">
        <f>F28</f>
        <v>30628460.09</v>
      </c>
      <c r="W28" s="309">
        <f aca="true" t="shared" si="16" ref="W28:W42">+V28/$V$87</f>
        <v>0.25896133684219397</v>
      </c>
      <c r="X28" s="241">
        <v>352221</v>
      </c>
      <c r="Y28" s="326">
        <f t="shared" si="3"/>
        <v>-30276239.09</v>
      </c>
      <c r="Z28" s="310">
        <f aca="true" t="shared" si="17" ref="Z28:Z41">+Y28/X28</f>
        <v>-85.95807487344594</v>
      </c>
      <c r="AB28" s="306">
        <v>2101</v>
      </c>
      <c r="AC28" s="307" t="s">
        <v>10</v>
      </c>
      <c r="AD28" s="311">
        <f>+O28</f>
        <v>32005563.3</v>
      </c>
      <c r="AE28" s="311">
        <v>4198406</v>
      </c>
      <c r="AF28" s="312">
        <v>36184297</v>
      </c>
      <c r="AG28" s="311">
        <f>AE28+AF28</f>
        <v>40382703</v>
      </c>
      <c r="AH28" s="311">
        <f aca="true" t="shared" si="18" ref="AH28:AH41">AI28-AG28</f>
        <v>27581926</v>
      </c>
      <c r="AI28" s="311">
        <v>67964629</v>
      </c>
      <c r="AJ28" s="311">
        <f aca="true" t="shared" si="19" ref="AJ28:AJ41">AI28-AD28</f>
        <v>35959065.7</v>
      </c>
      <c r="AK28" s="313">
        <f aca="true" t="shared" si="20" ref="AK28:AK41">+AJ28/AI28</f>
        <v>0.529084999492898</v>
      </c>
    </row>
    <row r="29" spans="1:37" ht="18">
      <c r="A29" s="48">
        <v>2102</v>
      </c>
      <c r="B29" s="31" t="s">
        <v>11</v>
      </c>
      <c r="C29" s="5">
        <v>39302.23</v>
      </c>
      <c r="D29" s="5">
        <v>26425.36</v>
      </c>
      <c r="E29" s="5">
        <v>77770.21</v>
      </c>
      <c r="F29" s="5">
        <v>21810.49</v>
      </c>
      <c r="G29" s="5"/>
      <c r="H29" s="5"/>
      <c r="I29" s="5"/>
      <c r="J29" s="5"/>
      <c r="K29" s="5"/>
      <c r="L29" s="5"/>
      <c r="M29" s="5"/>
      <c r="N29" s="5"/>
      <c r="O29" s="5">
        <f t="shared" si="0"/>
        <v>165308.28999999998</v>
      </c>
      <c r="P29" s="5">
        <v>134936</v>
      </c>
      <c r="Q29" s="5">
        <f t="shared" si="12"/>
        <v>-30372.28999999998</v>
      </c>
      <c r="R29" s="150">
        <f t="shared" si="13"/>
        <v>-0.22508663366336618</v>
      </c>
      <c r="S29" s="34"/>
      <c r="T29" s="48">
        <v>2102</v>
      </c>
      <c r="U29" s="31" t="s">
        <v>11</v>
      </c>
      <c r="V29" s="5">
        <f aca="true" t="shared" si="21" ref="V29:V41">F29</f>
        <v>21810.49</v>
      </c>
      <c r="W29" s="217">
        <f t="shared" si="16"/>
        <v>0.00018440605995165147</v>
      </c>
      <c r="X29" s="5">
        <v>33734</v>
      </c>
      <c r="Y29" s="178">
        <f t="shared" si="3"/>
        <v>11923.509999999998</v>
      </c>
      <c r="Z29" s="37">
        <f t="shared" si="17"/>
        <v>0.35345674986660336</v>
      </c>
      <c r="AB29" s="48">
        <v>2102</v>
      </c>
      <c r="AC29" s="31" t="s">
        <v>11</v>
      </c>
      <c r="AD29" s="5">
        <f aca="true" t="shared" si="22" ref="AD29:AD41">+O29</f>
        <v>165308.28999999998</v>
      </c>
      <c r="AE29" s="5">
        <v>404812</v>
      </c>
      <c r="AF29" s="206"/>
      <c r="AG29" s="5">
        <f aca="true" t="shared" si="23" ref="AG29:AG41">AE29+AF29</f>
        <v>404812</v>
      </c>
      <c r="AH29" s="5">
        <f t="shared" si="18"/>
        <v>0</v>
      </c>
      <c r="AI29" s="5">
        <v>404812</v>
      </c>
      <c r="AJ29" s="5">
        <f t="shared" si="19"/>
        <v>239503.71000000002</v>
      </c>
      <c r="AK29" s="164">
        <f t="shared" si="20"/>
        <v>0.5916418238589766</v>
      </c>
    </row>
    <row r="30" spans="1:37" s="26" customFormat="1" ht="18">
      <c r="A30" s="306">
        <v>2103</v>
      </c>
      <c r="B30" s="307" t="s">
        <v>72</v>
      </c>
      <c r="C30" s="241">
        <v>6470.2</v>
      </c>
      <c r="D30" s="241">
        <v>1023.8</v>
      </c>
      <c r="E30" s="241">
        <v>3459.33</v>
      </c>
      <c r="F30" s="241">
        <v>1237</v>
      </c>
      <c r="G30" s="241"/>
      <c r="H30" s="241"/>
      <c r="I30" s="241"/>
      <c r="J30" s="241"/>
      <c r="K30" s="241"/>
      <c r="L30" s="241"/>
      <c r="M30" s="241"/>
      <c r="N30" s="241"/>
      <c r="O30" s="241">
        <f t="shared" si="0"/>
        <v>12190.33</v>
      </c>
      <c r="P30" s="241">
        <v>83888</v>
      </c>
      <c r="Q30" s="241">
        <f t="shared" si="12"/>
        <v>71697.67</v>
      </c>
      <c r="R30" s="308">
        <f t="shared" si="13"/>
        <v>0.8546832681670798</v>
      </c>
      <c r="S30" s="34"/>
      <c r="T30" s="306">
        <v>2103</v>
      </c>
      <c r="U30" s="307" t="s">
        <v>72</v>
      </c>
      <c r="V30" s="241">
        <f t="shared" si="21"/>
        <v>1237</v>
      </c>
      <c r="W30" s="309">
        <f t="shared" si="16"/>
        <v>1.0458742383146497E-05</v>
      </c>
      <c r="X30" s="241">
        <v>10722</v>
      </c>
      <c r="Y30" s="241">
        <f t="shared" si="3"/>
        <v>9485</v>
      </c>
      <c r="Z30" s="310">
        <f t="shared" si="17"/>
        <v>0.8846297332587204</v>
      </c>
      <c r="AB30" s="306">
        <v>2103</v>
      </c>
      <c r="AC30" s="307" t="s">
        <v>72</v>
      </c>
      <c r="AD30" s="311">
        <f t="shared" si="22"/>
        <v>12190.33</v>
      </c>
      <c r="AE30" s="311">
        <v>203000</v>
      </c>
      <c r="AF30" s="312"/>
      <c r="AG30" s="311">
        <f t="shared" si="23"/>
        <v>203000</v>
      </c>
      <c r="AH30" s="311">
        <f t="shared" si="18"/>
        <v>0</v>
      </c>
      <c r="AI30" s="311">
        <v>203000</v>
      </c>
      <c r="AJ30" s="311">
        <f t="shared" si="19"/>
        <v>190809.67</v>
      </c>
      <c r="AK30" s="313">
        <f t="shared" si="20"/>
        <v>0.9399491133004927</v>
      </c>
    </row>
    <row r="31" spans="1:37" ht="18">
      <c r="A31" s="35">
        <v>2105</v>
      </c>
      <c r="B31" s="30" t="s">
        <v>209</v>
      </c>
      <c r="C31" s="16"/>
      <c r="D31" s="16">
        <v>0</v>
      </c>
      <c r="E31" s="16"/>
      <c r="F31" s="16">
        <v>50353.28</v>
      </c>
      <c r="G31" s="16"/>
      <c r="H31" s="16"/>
      <c r="I31" s="16"/>
      <c r="J31" s="16"/>
      <c r="K31" s="16"/>
      <c r="L31" s="16"/>
      <c r="M31" s="16"/>
      <c r="N31" s="16"/>
      <c r="O31" s="16">
        <f t="shared" si="0"/>
        <v>50353.28</v>
      </c>
      <c r="P31" s="16">
        <v>1984386</v>
      </c>
      <c r="Q31" s="16">
        <f t="shared" si="12"/>
        <v>1934032.72</v>
      </c>
      <c r="R31" s="150">
        <f t="shared" si="13"/>
        <v>0.9746252594001369</v>
      </c>
      <c r="S31" s="34"/>
      <c r="T31" s="35">
        <v>2105</v>
      </c>
      <c r="U31" s="30" t="s">
        <v>209</v>
      </c>
      <c r="V31" s="16">
        <f t="shared" si="21"/>
        <v>50353.28</v>
      </c>
      <c r="W31" s="218">
        <f t="shared" si="16"/>
        <v>0.0004257332123415059</v>
      </c>
      <c r="X31" s="16">
        <v>1956942</v>
      </c>
      <c r="Y31" s="16">
        <f t="shared" si="3"/>
        <v>1906588.72</v>
      </c>
      <c r="Z31" s="37">
        <f t="shared" si="17"/>
        <v>0.9742694060426931</v>
      </c>
      <c r="AB31" s="35">
        <v>2105</v>
      </c>
      <c r="AC31" s="30" t="s">
        <v>209</v>
      </c>
      <c r="AD31" s="16">
        <f t="shared" si="22"/>
        <v>50353.28</v>
      </c>
      <c r="AE31" s="16">
        <v>109781</v>
      </c>
      <c r="AF31" s="208">
        <v>1947794</v>
      </c>
      <c r="AG31" s="16">
        <f t="shared" si="23"/>
        <v>2057575</v>
      </c>
      <c r="AH31" s="16">
        <f t="shared" si="18"/>
        <v>0</v>
      </c>
      <c r="AI31" s="16">
        <v>2057575</v>
      </c>
      <c r="AJ31" s="16">
        <f t="shared" si="19"/>
        <v>2007221.72</v>
      </c>
      <c r="AK31" s="164">
        <f t="shared" si="20"/>
        <v>0.9755278519616539</v>
      </c>
    </row>
    <row r="32" spans="1:37" s="26" customFormat="1" ht="18">
      <c r="A32" s="306">
        <v>2106</v>
      </c>
      <c r="B32" s="307" t="s">
        <v>210</v>
      </c>
      <c r="C32" s="241">
        <v>23791.76</v>
      </c>
      <c r="D32" s="241">
        <v>118101.25</v>
      </c>
      <c r="E32" s="241">
        <v>415992.46</v>
      </c>
      <c r="F32" s="241">
        <v>605594.69</v>
      </c>
      <c r="G32" s="241"/>
      <c r="H32" s="241"/>
      <c r="I32" s="241"/>
      <c r="J32" s="241"/>
      <c r="K32" s="241"/>
      <c r="L32" s="241"/>
      <c r="M32" s="241"/>
      <c r="N32" s="241"/>
      <c r="O32" s="241">
        <f t="shared" si="0"/>
        <v>1163480.16</v>
      </c>
      <c r="P32" s="241">
        <v>815924</v>
      </c>
      <c r="Q32" s="241">
        <f t="shared" si="12"/>
        <v>-347556.1599999999</v>
      </c>
      <c r="R32" s="308">
        <f t="shared" si="13"/>
        <v>-0.42596634000225503</v>
      </c>
      <c r="S32" s="34"/>
      <c r="T32" s="306">
        <v>2106</v>
      </c>
      <c r="U32" s="307" t="s">
        <v>210</v>
      </c>
      <c r="V32" s="241">
        <f t="shared" si="21"/>
        <v>605594.69</v>
      </c>
      <c r="W32" s="309">
        <f t="shared" si="16"/>
        <v>0.005120257761771595</v>
      </c>
      <c r="X32" s="241">
        <v>196481</v>
      </c>
      <c r="Y32" s="326">
        <f t="shared" si="3"/>
        <v>-409113.68999999994</v>
      </c>
      <c r="Z32" s="310">
        <f t="shared" si="17"/>
        <v>-2.0822048442343024</v>
      </c>
      <c r="AB32" s="306">
        <v>2106</v>
      </c>
      <c r="AC32" s="307" t="s">
        <v>233</v>
      </c>
      <c r="AD32" s="311">
        <f t="shared" si="22"/>
        <v>1163480.16</v>
      </c>
      <c r="AE32" s="311">
        <v>2332767</v>
      </c>
      <c r="AF32" s="312"/>
      <c r="AG32" s="311">
        <f t="shared" si="23"/>
        <v>2332767</v>
      </c>
      <c r="AH32" s="311">
        <f t="shared" si="18"/>
        <v>0</v>
      </c>
      <c r="AI32" s="311">
        <v>2332767</v>
      </c>
      <c r="AJ32" s="311">
        <f t="shared" si="19"/>
        <v>1169286.84</v>
      </c>
      <c r="AK32" s="313">
        <f t="shared" si="20"/>
        <v>0.5012445906513595</v>
      </c>
    </row>
    <row r="33" spans="1:37" ht="18">
      <c r="A33" s="35">
        <v>2201</v>
      </c>
      <c r="B33" s="30" t="s">
        <v>12</v>
      </c>
      <c r="C33" s="16">
        <v>229456.93</v>
      </c>
      <c r="D33" s="16">
        <v>295669.54</v>
      </c>
      <c r="E33" s="16">
        <v>448655.23</v>
      </c>
      <c r="F33" s="16">
        <v>475543.73</v>
      </c>
      <c r="G33" s="16"/>
      <c r="H33" s="16"/>
      <c r="I33" s="16"/>
      <c r="J33" s="16"/>
      <c r="K33" s="16"/>
      <c r="L33" s="16"/>
      <c r="M33" s="16"/>
      <c r="N33" s="16"/>
      <c r="O33" s="16">
        <f t="shared" si="0"/>
        <v>1449325.43</v>
      </c>
      <c r="P33" s="16">
        <v>505220</v>
      </c>
      <c r="Q33" s="16">
        <f t="shared" si="12"/>
        <v>-944105.4299999999</v>
      </c>
      <c r="R33" s="150">
        <f t="shared" si="13"/>
        <v>-1.8687016151379596</v>
      </c>
      <c r="S33" s="34"/>
      <c r="T33" s="35">
        <v>2201</v>
      </c>
      <c r="U33" s="30" t="s">
        <v>12</v>
      </c>
      <c r="V33" s="16">
        <f t="shared" si="21"/>
        <v>475543.73</v>
      </c>
      <c r="W33" s="218">
        <f t="shared" si="16"/>
        <v>0.004020686632166996</v>
      </c>
      <c r="X33" s="16">
        <v>81401</v>
      </c>
      <c r="Y33" s="178">
        <f t="shared" si="3"/>
        <v>-394142.73</v>
      </c>
      <c r="Z33" s="37">
        <f t="shared" si="17"/>
        <v>-4.841988796206435</v>
      </c>
      <c r="AB33" s="35">
        <v>2201</v>
      </c>
      <c r="AC33" s="30" t="s">
        <v>12</v>
      </c>
      <c r="AD33" s="16">
        <f t="shared" si="22"/>
        <v>1449325.43</v>
      </c>
      <c r="AE33" s="16">
        <v>6300606</v>
      </c>
      <c r="AF33" s="208">
        <v>-1055</v>
      </c>
      <c r="AG33" s="16">
        <f t="shared" si="23"/>
        <v>6299551</v>
      </c>
      <c r="AH33" s="16">
        <f t="shared" si="18"/>
        <v>5</v>
      </c>
      <c r="AI33" s="16">
        <v>6299556</v>
      </c>
      <c r="AJ33" s="16">
        <f t="shared" si="19"/>
        <v>4850230.57</v>
      </c>
      <c r="AK33" s="164">
        <f t="shared" si="20"/>
        <v>0.7699321301374256</v>
      </c>
    </row>
    <row r="34" spans="1:37" s="26" customFormat="1" ht="18">
      <c r="A34" s="306">
        <v>2204</v>
      </c>
      <c r="B34" s="307" t="s">
        <v>73</v>
      </c>
      <c r="C34" s="241">
        <v>24655.16</v>
      </c>
      <c r="D34" s="241">
        <v>13596.19</v>
      </c>
      <c r="E34" s="241">
        <v>-2194.52</v>
      </c>
      <c r="F34" s="241">
        <v>10452.75</v>
      </c>
      <c r="G34" s="241"/>
      <c r="H34" s="241"/>
      <c r="I34" s="241"/>
      <c r="J34" s="241"/>
      <c r="K34" s="241"/>
      <c r="L34" s="241"/>
      <c r="M34" s="241"/>
      <c r="N34" s="241"/>
      <c r="O34" s="241">
        <f t="shared" si="0"/>
        <v>46509.58</v>
      </c>
      <c r="P34" s="241">
        <v>55556</v>
      </c>
      <c r="Q34" s="241">
        <f t="shared" si="12"/>
        <v>9046.419999999998</v>
      </c>
      <c r="R34" s="308">
        <f t="shared" si="13"/>
        <v>0.16283425732594137</v>
      </c>
      <c r="S34" s="34"/>
      <c r="T34" s="306">
        <v>2204</v>
      </c>
      <c r="U34" s="307" t="s">
        <v>73</v>
      </c>
      <c r="V34" s="241">
        <f t="shared" si="21"/>
        <v>10452.75</v>
      </c>
      <c r="W34" s="309">
        <f t="shared" si="16"/>
        <v>8.837721863010069E-05</v>
      </c>
      <c r="X34" s="241">
        <v>13889</v>
      </c>
      <c r="Y34" s="241">
        <f t="shared" si="3"/>
        <v>3436.25</v>
      </c>
      <c r="Z34" s="310">
        <f t="shared" si="17"/>
        <v>0.24740802073583412</v>
      </c>
      <c r="AB34" s="306">
        <v>2204</v>
      </c>
      <c r="AC34" s="307" t="s">
        <v>73</v>
      </c>
      <c r="AD34" s="311">
        <f t="shared" si="22"/>
        <v>46509.58</v>
      </c>
      <c r="AE34" s="311">
        <v>125000</v>
      </c>
      <c r="AF34" s="312"/>
      <c r="AG34" s="311">
        <f t="shared" si="23"/>
        <v>125000</v>
      </c>
      <c r="AH34" s="311">
        <f t="shared" si="18"/>
        <v>0</v>
      </c>
      <c r="AI34" s="311">
        <v>125000</v>
      </c>
      <c r="AJ34" s="311">
        <f t="shared" si="19"/>
        <v>78490.42</v>
      </c>
      <c r="AK34" s="313">
        <f t="shared" si="20"/>
        <v>0.62792336</v>
      </c>
    </row>
    <row r="35" spans="1:37" ht="18">
      <c r="A35" s="35">
        <v>2302</v>
      </c>
      <c r="B35" s="30" t="s">
        <v>13</v>
      </c>
      <c r="C35" s="16">
        <v>32234.14</v>
      </c>
      <c r="D35" s="16">
        <v>13924.52</v>
      </c>
      <c r="E35" s="16">
        <v>122330.34</v>
      </c>
      <c r="F35" s="16">
        <v>59597.82</v>
      </c>
      <c r="G35" s="16"/>
      <c r="H35" s="16"/>
      <c r="I35" s="16"/>
      <c r="J35" s="16"/>
      <c r="K35" s="16"/>
      <c r="L35" s="16"/>
      <c r="M35" s="16"/>
      <c r="N35" s="16"/>
      <c r="O35" s="16">
        <f t="shared" si="0"/>
        <v>228086.82</v>
      </c>
      <c r="P35" s="16">
        <v>400000</v>
      </c>
      <c r="Q35" s="16">
        <f t="shared" si="12"/>
        <v>171913.18</v>
      </c>
      <c r="R35" s="150">
        <f t="shared" si="13"/>
        <v>0.42978295</v>
      </c>
      <c r="S35" s="34"/>
      <c r="T35" s="35">
        <v>2302</v>
      </c>
      <c r="U35" s="30" t="s">
        <v>13</v>
      </c>
      <c r="V35" s="16">
        <f t="shared" si="21"/>
        <v>59597.82</v>
      </c>
      <c r="W35" s="218">
        <f t="shared" si="16"/>
        <v>0.0005038951058828909</v>
      </c>
      <c r="X35" s="16">
        <v>100000</v>
      </c>
      <c r="Y35" s="178">
        <f t="shared" si="3"/>
        <v>40402.18</v>
      </c>
      <c r="Z35" s="37">
        <f t="shared" si="17"/>
        <v>0.4040218</v>
      </c>
      <c r="AB35" s="35">
        <v>2302</v>
      </c>
      <c r="AC35" s="30" t="s">
        <v>13</v>
      </c>
      <c r="AD35" s="16">
        <f t="shared" si="22"/>
        <v>228086.82</v>
      </c>
      <c r="AE35" s="16">
        <v>600000</v>
      </c>
      <c r="AF35" s="208"/>
      <c r="AG35" s="16">
        <f t="shared" si="23"/>
        <v>600000</v>
      </c>
      <c r="AH35" s="16">
        <f t="shared" si="18"/>
        <v>0</v>
      </c>
      <c r="AI35" s="16">
        <v>600000</v>
      </c>
      <c r="AJ35" s="16">
        <f t="shared" si="19"/>
        <v>371913.18</v>
      </c>
      <c r="AK35" s="164">
        <f t="shared" si="20"/>
        <v>0.6198553</v>
      </c>
    </row>
    <row r="36" spans="1:37" s="26" customFormat="1" ht="18">
      <c r="A36" s="306">
        <v>2402</v>
      </c>
      <c r="B36" s="307" t="s">
        <v>180</v>
      </c>
      <c r="C36" s="241">
        <v>35239.97</v>
      </c>
      <c r="D36" s="241">
        <v>36017.16</v>
      </c>
      <c r="E36" s="241">
        <v>19625.15</v>
      </c>
      <c r="F36" s="241">
        <v>98208.44</v>
      </c>
      <c r="G36" s="241"/>
      <c r="H36" s="241"/>
      <c r="I36" s="241"/>
      <c r="J36" s="241"/>
      <c r="K36" s="241"/>
      <c r="L36" s="241"/>
      <c r="M36" s="241"/>
      <c r="N36" s="241"/>
      <c r="O36" s="241">
        <f t="shared" si="0"/>
        <v>189090.72</v>
      </c>
      <c r="P36" s="241">
        <v>289332</v>
      </c>
      <c r="Q36" s="241">
        <f t="shared" si="12"/>
        <v>100241.28</v>
      </c>
      <c r="R36" s="308">
        <f t="shared" si="13"/>
        <v>0.34645763344531544</v>
      </c>
      <c r="S36" s="34"/>
      <c r="T36" s="306">
        <v>2402</v>
      </c>
      <c r="U36" s="307" t="s">
        <v>180</v>
      </c>
      <c r="V36" s="241">
        <f t="shared" si="21"/>
        <v>98208.44</v>
      </c>
      <c r="W36" s="309">
        <f t="shared" si="16"/>
        <v>0.0008303450071226352</v>
      </c>
      <c r="X36" s="241">
        <v>3333</v>
      </c>
      <c r="Y36" s="326">
        <f t="shared" si="3"/>
        <v>-94875.44</v>
      </c>
      <c r="Z36" s="310">
        <f t="shared" si="17"/>
        <v>-28.465478547854786</v>
      </c>
      <c r="AB36" s="306" t="s">
        <v>179</v>
      </c>
      <c r="AC36" s="307" t="s">
        <v>180</v>
      </c>
      <c r="AD36" s="311">
        <f t="shared" si="22"/>
        <v>189090.72</v>
      </c>
      <c r="AE36" s="311">
        <v>316000</v>
      </c>
      <c r="AF36" s="312"/>
      <c r="AG36" s="311">
        <f t="shared" si="23"/>
        <v>316000</v>
      </c>
      <c r="AH36" s="311">
        <f t="shared" si="18"/>
        <v>0</v>
      </c>
      <c r="AI36" s="311">
        <v>316000</v>
      </c>
      <c r="AJ36" s="311">
        <f t="shared" si="19"/>
        <v>126909.28</v>
      </c>
      <c r="AK36" s="313">
        <f t="shared" si="20"/>
        <v>0.40161164556962026</v>
      </c>
    </row>
    <row r="37" spans="1:37" ht="18">
      <c r="A37" s="35">
        <v>2404</v>
      </c>
      <c r="B37" s="30" t="s">
        <v>74</v>
      </c>
      <c r="C37" s="16">
        <v>3210.75</v>
      </c>
      <c r="D37" s="16">
        <v>12891.27</v>
      </c>
      <c r="E37" s="16">
        <v>25874.82</v>
      </c>
      <c r="F37" s="16">
        <v>51158.19</v>
      </c>
      <c r="G37" s="16"/>
      <c r="H37" s="16"/>
      <c r="I37" s="16"/>
      <c r="J37" s="16"/>
      <c r="K37" s="16"/>
      <c r="L37" s="16"/>
      <c r="M37" s="16"/>
      <c r="N37" s="16"/>
      <c r="O37" s="16">
        <f t="shared" si="0"/>
        <v>93135.03</v>
      </c>
      <c r="P37" s="16">
        <v>54552</v>
      </c>
      <c r="Q37" s="16">
        <f t="shared" si="12"/>
        <v>-38583.03</v>
      </c>
      <c r="R37" s="150">
        <f t="shared" si="13"/>
        <v>-0.7072706775186978</v>
      </c>
      <c r="S37" s="34"/>
      <c r="T37" s="35">
        <v>2404</v>
      </c>
      <c r="U37" s="30" t="s">
        <v>74</v>
      </c>
      <c r="V37" s="16">
        <f t="shared" si="21"/>
        <v>51158.19</v>
      </c>
      <c r="W37" s="218">
        <f t="shared" si="16"/>
        <v>0.0004325386661261611</v>
      </c>
      <c r="X37" s="16">
        <v>12263</v>
      </c>
      <c r="Y37" s="178">
        <f t="shared" si="3"/>
        <v>-38895.19</v>
      </c>
      <c r="Z37" s="37">
        <f t="shared" si="17"/>
        <v>-3.1717516105357584</v>
      </c>
      <c r="AB37" s="35">
        <v>2404</v>
      </c>
      <c r="AC37" s="30" t="s">
        <v>74</v>
      </c>
      <c r="AD37" s="16">
        <f t="shared" si="22"/>
        <v>93135.03</v>
      </c>
      <c r="AE37" s="16">
        <v>152659</v>
      </c>
      <c r="AF37" s="208"/>
      <c r="AG37" s="16">
        <f t="shared" si="23"/>
        <v>152659</v>
      </c>
      <c r="AH37" s="16">
        <f t="shared" si="18"/>
        <v>0</v>
      </c>
      <c r="AI37" s="16">
        <v>152659</v>
      </c>
      <c r="AJ37" s="16">
        <f t="shared" si="19"/>
        <v>59523.97</v>
      </c>
      <c r="AK37" s="164">
        <f t="shared" si="20"/>
        <v>0.3899145808632311</v>
      </c>
    </row>
    <row r="38" spans="1:37" s="26" customFormat="1" ht="18">
      <c r="A38" s="306" t="s">
        <v>243</v>
      </c>
      <c r="B38" s="307" t="s">
        <v>245</v>
      </c>
      <c r="C38" s="241">
        <v>7872</v>
      </c>
      <c r="D38" s="241"/>
      <c r="E38" s="241">
        <v>191.3</v>
      </c>
      <c r="F38" s="241">
        <v>2961.38</v>
      </c>
      <c r="G38" s="241"/>
      <c r="H38" s="241"/>
      <c r="I38" s="241"/>
      <c r="J38" s="241"/>
      <c r="K38" s="241"/>
      <c r="L38" s="241"/>
      <c r="M38" s="241"/>
      <c r="N38" s="241"/>
      <c r="O38" s="241">
        <f>+D38+C38+E38+F38+G38+H38+I38+J38+K38+L38+M38+N38</f>
        <v>11024.68</v>
      </c>
      <c r="P38" s="241">
        <v>53332</v>
      </c>
      <c r="Q38" s="241">
        <f>+P38-O38</f>
        <v>42307.32</v>
      </c>
      <c r="R38" s="308">
        <f>+Q38/P38</f>
        <v>0.7932820820520513</v>
      </c>
      <c r="S38" s="34"/>
      <c r="T38" s="306" t="s">
        <v>243</v>
      </c>
      <c r="U38" s="307" t="s">
        <v>245</v>
      </c>
      <c r="V38" s="241">
        <f t="shared" si="21"/>
        <v>2961.38</v>
      </c>
      <c r="W38" s="309">
        <f t="shared" si="16"/>
        <v>2.503824617510297E-05</v>
      </c>
      <c r="X38" s="241">
        <v>25833</v>
      </c>
      <c r="Y38" s="241">
        <f t="shared" si="3"/>
        <v>22871.62</v>
      </c>
      <c r="Z38" s="310">
        <f t="shared" si="17"/>
        <v>0.8853644563155654</v>
      </c>
      <c r="AB38" s="306" t="s">
        <v>243</v>
      </c>
      <c r="AC38" s="307" t="s">
        <v>245</v>
      </c>
      <c r="AD38" s="311">
        <f t="shared" si="22"/>
        <v>11024.68</v>
      </c>
      <c r="AE38" s="311">
        <v>60000</v>
      </c>
      <c r="AF38" s="312"/>
      <c r="AG38" s="311">
        <f t="shared" si="23"/>
        <v>60000</v>
      </c>
      <c r="AH38" s="311">
        <f t="shared" si="18"/>
        <v>0</v>
      </c>
      <c r="AI38" s="311">
        <v>60000</v>
      </c>
      <c r="AJ38" s="311">
        <f>AI38-AD38</f>
        <v>48975.32</v>
      </c>
      <c r="AK38" s="313">
        <f t="shared" si="20"/>
        <v>0.8162553333333333</v>
      </c>
    </row>
    <row r="39" spans="1:37" ht="18">
      <c r="A39" s="35" t="s">
        <v>275</v>
      </c>
      <c r="B39" s="30" t="s">
        <v>276</v>
      </c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>
        <f t="shared" si="0"/>
        <v>0</v>
      </c>
      <c r="P39" s="16">
        <v>3334</v>
      </c>
      <c r="Q39" s="16">
        <f t="shared" si="12"/>
        <v>3334</v>
      </c>
      <c r="R39" s="150">
        <f t="shared" si="13"/>
        <v>1</v>
      </c>
      <c r="S39" s="34"/>
      <c r="T39" s="35" t="s">
        <v>275</v>
      </c>
      <c r="U39" s="30" t="s">
        <v>276</v>
      </c>
      <c r="V39" s="16">
        <f t="shared" si="21"/>
        <v>0</v>
      </c>
      <c r="W39" s="219">
        <f t="shared" si="16"/>
        <v>0</v>
      </c>
      <c r="X39" s="16">
        <v>835</v>
      </c>
      <c r="Y39" s="16">
        <f t="shared" si="3"/>
        <v>835</v>
      </c>
      <c r="Z39" s="37">
        <f t="shared" si="17"/>
        <v>1</v>
      </c>
      <c r="AB39" s="35" t="s">
        <v>275</v>
      </c>
      <c r="AC39" s="30" t="s">
        <v>276</v>
      </c>
      <c r="AD39" s="16">
        <f t="shared" si="22"/>
        <v>0</v>
      </c>
      <c r="AE39" s="16">
        <v>10000</v>
      </c>
      <c r="AF39" s="208"/>
      <c r="AG39" s="16">
        <f t="shared" si="23"/>
        <v>10000</v>
      </c>
      <c r="AH39" s="16">
        <f t="shared" si="18"/>
        <v>0</v>
      </c>
      <c r="AI39" s="16">
        <v>10000</v>
      </c>
      <c r="AJ39" s="16">
        <f t="shared" si="19"/>
        <v>10000</v>
      </c>
      <c r="AK39" s="164">
        <f t="shared" si="20"/>
        <v>1</v>
      </c>
    </row>
    <row r="40" spans="1:37" s="26" customFormat="1" ht="18">
      <c r="A40" s="306">
        <v>2601</v>
      </c>
      <c r="B40" s="307" t="s">
        <v>14</v>
      </c>
      <c r="C40" s="241">
        <v>605772.95</v>
      </c>
      <c r="D40" s="241">
        <v>715189.38</v>
      </c>
      <c r="E40" s="241">
        <v>718932.37</v>
      </c>
      <c r="F40" s="241">
        <v>1015360.78</v>
      </c>
      <c r="G40" s="241"/>
      <c r="H40" s="241"/>
      <c r="I40" s="241"/>
      <c r="J40" s="241"/>
      <c r="K40" s="241"/>
      <c r="L40" s="241"/>
      <c r="M40" s="241"/>
      <c r="N40" s="241"/>
      <c r="O40" s="241">
        <f t="shared" si="0"/>
        <v>3055255.4800000004</v>
      </c>
      <c r="P40" s="241">
        <v>1485499</v>
      </c>
      <c r="Q40" s="241">
        <f t="shared" si="12"/>
        <v>-1569756.4800000004</v>
      </c>
      <c r="R40" s="308">
        <f t="shared" si="13"/>
        <v>-1.0567199843284987</v>
      </c>
      <c r="S40" s="34"/>
      <c r="T40" s="306">
        <v>2601</v>
      </c>
      <c r="U40" s="307" t="s">
        <v>14</v>
      </c>
      <c r="V40" s="241">
        <f t="shared" si="21"/>
        <v>1015360.78</v>
      </c>
      <c r="W40" s="309">
        <f t="shared" si="16"/>
        <v>0.00858479937265213</v>
      </c>
      <c r="X40" s="241">
        <v>372155</v>
      </c>
      <c r="Y40" s="326">
        <f t="shared" si="3"/>
        <v>-643205.78</v>
      </c>
      <c r="Z40" s="310">
        <f t="shared" si="17"/>
        <v>-1.728327659174269</v>
      </c>
      <c r="AB40" s="306">
        <v>2601</v>
      </c>
      <c r="AC40" s="307" t="s">
        <v>14</v>
      </c>
      <c r="AD40" s="311">
        <f t="shared" si="22"/>
        <v>3055255.4800000004</v>
      </c>
      <c r="AE40" s="311">
        <v>3958120</v>
      </c>
      <c r="AF40" s="312">
        <v>-14199</v>
      </c>
      <c r="AG40" s="311">
        <f t="shared" si="23"/>
        <v>3943921</v>
      </c>
      <c r="AH40" s="311">
        <f t="shared" si="18"/>
        <v>0</v>
      </c>
      <c r="AI40" s="311">
        <v>3943921</v>
      </c>
      <c r="AJ40" s="311">
        <f t="shared" si="19"/>
        <v>888665.5199999996</v>
      </c>
      <c r="AK40" s="313">
        <f t="shared" si="20"/>
        <v>0.22532538557440668</v>
      </c>
    </row>
    <row r="41" spans="1:37" ht="18">
      <c r="A41" s="35" t="s">
        <v>244</v>
      </c>
      <c r="B41" s="30" t="s">
        <v>248</v>
      </c>
      <c r="C41" s="16">
        <v>482.56</v>
      </c>
      <c r="D41" s="16"/>
      <c r="E41" s="16">
        <v>40983.53</v>
      </c>
      <c r="F41" s="16">
        <v>3460.6</v>
      </c>
      <c r="G41" s="16"/>
      <c r="H41" s="16"/>
      <c r="I41" s="16"/>
      <c r="J41" s="16"/>
      <c r="K41" s="16"/>
      <c r="L41" s="16"/>
      <c r="M41" s="16"/>
      <c r="N41" s="16"/>
      <c r="O41" s="16">
        <f t="shared" si="0"/>
        <v>44926.689999999995</v>
      </c>
      <c r="P41" s="16">
        <v>18336</v>
      </c>
      <c r="Q41" s="16">
        <f t="shared" si="12"/>
        <v>-26590.689999999995</v>
      </c>
      <c r="R41" s="150">
        <f t="shared" si="13"/>
        <v>-1.4501903359511341</v>
      </c>
      <c r="S41" s="34"/>
      <c r="T41" s="35" t="s">
        <v>244</v>
      </c>
      <c r="U41" s="30" t="s">
        <v>248</v>
      </c>
      <c r="V41" s="16">
        <f t="shared" si="21"/>
        <v>3460.6</v>
      </c>
      <c r="W41" s="218">
        <f t="shared" si="16"/>
        <v>2.925911389742665E-05</v>
      </c>
      <c r="X41" s="16">
        <v>833</v>
      </c>
      <c r="Y41" s="178">
        <f t="shared" si="3"/>
        <v>-2627.6</v>
      </c>
      <c r="Z41" s="37">
        <f t="shared" si="17"/>
        <v>-3.1543817527010805</v>
      </c>
      <c r="AB41" s="35" t="s">
        <v>244</v>
      </c>
      <c r="AC41" s="30" t="s">
        <v>246</v>
      </c>
      <c r="AD41" s="16">
        <f t="shared" si="22"/>
        <v>44926.689999999995</v>
      </c>
      <c r="AE41" s="16">
        <v>35000</v>
      </c>
      <c r="AF41" s="208">
        <v>-10000</v>
      </c>
      <c r="AG41" s="16">
        <f t="shared" si="23"/>
        <v>25000</v>
      </c>
      <c r="AH41" s="16">
        <f t="shared" si="18"/>
        <v>0</v>
      </c>
      <c r="AI41" s="16">
        <v>25000</v>
      </c>
      <c r="AJ41" s="208">
        <f t="shared" si="19"/>
        <v>-19926.689999999995</v>
      </c>
      <c r="AK41" s="164">
        <f t="shared" si="20"/>
        <v>-0.7970675999999998</v>
      </c>
    </row>
    <row r="42" spans="1:37" ht="20.25" thickBot="1">
      <c r="A42" s="314">
        <v>2000</v>
      </c>
      <c r="B42" s="315" t="s">
        <v>15</v>
      </c>
      <c r="C42" s="316">
        <f>SUM(C28:C41)</f>
        <v>1233518.2</v>
      </c>
      <c r="D42" s="316">
        <f>SUM(D28:D40)</f>
        <v>1461290.73</v>
      </c>
      <c r="E42" s="316">
        <f>SUM(E28:E41)</f>
        <v>2795241.6199999996</v>
      </c>
      <c r="F42" s="316">
        <f>SUM(F28:F41)</f>
        <v>33024199.240000006</v>
      </c>
      <c r="G42" s="316">
        <f aca="true" t="shared" si="24" ref="G42:O42">SUM(G28:G41)</f>
        <v>0</v>
      </c>
      <c r="H42" s="316">
        <f t="shared" si="24"/>
        <v>0</v>
      </c>
      <c r="I42" s="316">
        <f t="shared" si="24"/>
        <v>0</v>
      </c>
      <c r="J42" s="316">
        <f t="shared" si="24"/>
        <v>0</v>
      </c>
      <c r="K42" s="316">
        <f t="shared" si="24"/>
        <v>0</v>
      </c>
      <c r="L42" s="316">
        <f t="shared" si="24"/>
        <v>0</v>
      </c>
      <c r="M42" s="316">
        <f t="shared" si="24"/>
        <v>0</v>
      </c>
      <c r="N42" s="316">
        <f t="shared" si="24"/>
        <v>0</v>
      </c>
      <c r="O42" s="316">
        <f t="shared" si="24"/>
        <v>38514249.78999999</v>
      </c>
      <c r="P42" s="316">
        <v>39176291</v>
      </c>
      <c r="Q42" s="316">
        <f>SUM(Q28:Q41)</f>
        <v>662041.2099999981</v>
      </c>
      <c r="R42" s="317">
        <f>Q42/P42</f>
        <v>0.016899027271366707</v>
      </c>
      <c r="S42" s="46"/>
      <c r="T42" s="314">
        <v>2000</v>
      </c>
      <c r="U42" s="315" t="s">
        <v>15</v>
      </c>
      <c r="V42" s="316">
        <f>SUM(V28:V41)</f>
        <v>33024199.240000006</v>
      </c>
      <c r="W42" s="318">
        <f t="shared" si="16"/>
        <v>0.2792171319812954</v>
      </c>
      <c r="X42" s="316">
        <v>3160642</v>
      </c>
      <c r="Y42" s="325">
        <f>SUM(Y28:Y41)</f>
        <v>-29863557.240000006</v>
      </c>
      <c r="Z42" s="319">
        <f aca="true" t="shared" si="25" ref="Z42:Z51">+Y42/X42</f>
        <v>-9.448573182283853</v>
      </c>
      <c r="AB42" s="314">
        <v>2000</v>
      </c>
      <c r="AC42" s="315" t="s">
        <v>15</v>
      </c>
      <c r="AD42" s="316">
        <f aca="true" t="shared" si="26" ref="AD42:AJ42">SUM(AD28:AD41)</f>
        <v>38514249.78999999</v>
      </c>
      <c r="AE42" s="316">
        <f t="shared" si="26"/>
        <v>18806151</v>
      </c>
      <c r="AF42" s="320">
        <f t="shared" si="26"/>
        <v>38106837</v>
      </c>
      <c r="AG42" s="316">
        <f t="shared" si="26"/>
        <v>56912988</v>
      </c>
      <c r="AH42" s="321">
        <f t="shared" si="26"/>
        <v>27581931</v>
      </c>
      <c r="AI42" s="316">
        <f t="shared" si="26"/>
        <v>84494919</v>
      </c>
      <c r="AJ42" s="316">
        <f t="shared" si="26"/>
        <v>45980669.21000001</v>
      </c>
      <c r="AK42" s="322">
        <f>AJ42/AI42</f>
        <v>0.5441826532788322</v>
      </c>
    </row>
    <row r="43" spans="1:37" ht="12" customHeight="1" hidden="1" thickTop="1">
      <c r="A43" s="131"/>
      <c r="B43" s="132"/>
      <c r="C43" s="133"/>
      <c r="D43" s="133"/>
      <c r="E43" s="133"/>
      <c r="F43" s="133"/>
      <c r="G43" s="133"/>
      <c r="H43" s="133"/>
      <c r="I43" s="133"/>
      <c r="J43" s="133"/>
      <c r="K43" s="133"/>
      <c r="L43" s="133"/>
      <c r="M43" s="133"/>
      <c r="N43" s="133"/>
      <c r="O43" s="133"/>
      <c r="P43" s="133"/>
      <c r="Q43" s="133"/>
      <c r="R43" s="152"/>
      <c r="S43" s="46"/>
      <c r="T43" s="131"/>
      <c r="U43" s="132"/>
      <c r="V43" s="133"/>
      <c r="W43" s="134"/>
      <c r="X43" s="133"/>
      <c r="Y43" s="135"/>
      <c r="Z43" s="136"/>
      <c r="AB43" s="131"/>
      <c r="AC43" s="132"/>
      <c r="AD43" s="133"/>
      <c r="AE43" s="133"/>
      <c r="AF43" s="133"/>
      <c r="AG43" s="133"/>
      <c r="AH43" s="133"/>
      <c r="AI43" s="133"/>
      <c r="AJ43" s="133"/>
      <c r="AK43" s="136"/>
    </row>
    <row r="44" spans="1:37" ht="18.75" thickTop="1">
      <c r="A44" s="35">
        <v>3103</v>
      </c>
      <c r="B44" s="30" t="s">
        <v>75</v>
      </c>
      <c r="C44" s="16">
        <v>127482.35</v>
      </c>
      <c r="D44" s="16">
        <v>309735.43</v>
      </c>
      <c r="E44" s="16">
        <v>1058164.4</v>
      </c>
      <c r="F44" s="16">
        <v>1236507.09</v>
      </c>
      <c r="G44" s="16"/>
      <c r="H44" s="16"/>
      <c r="I44" s="16"/>
      <c r="J44" s="16"/>
      <c r="K44" s="16"/>
      <c r="L44" s="16"/>
      <c r="M44" s="16"/>
      <c r="N44" s="16"/>
      <c r="O44" s="16">
        <f aca="true" t="shared" si="27" ref="O44:O71">+D44+C44+E44+F44+G44+H44+I44+J44+K44+L44+M44+N44</f>
        <v>2731889.27</v>
      </c>
      <c r="P44" s="16">
        <v>1916628</v>
      </c>
      <c r="Q44" s="16">
        <f aca="true" t="shared" si="28" ref="Q44:Q71">+P44-O44</f>
        <v>-815261.27</v>
      </c>
      <c r="R44" s="150">
        <f aca="true" t="shared" si="29" ref="R44:R71">+Q44/P44</f>
        <v>-0.4253622873087527</v>
      </c>
      <c r="S44" s="34"/>
      <c r="T44" s="35">
        <v>3103</v>
      </c>
      <c r="U44" s="30" t="s">
        <v>75</v>
      </c>
      <c r="V44" s="16">
        <f>F44</f>
        <v>1236507.09</v>
      </c>
      <c r="W44" s="219">
        <f>+V44/$V$87</f>
        <v>0.01045457486600173</v>
      </c>
      <c r="X44" s="16">
        <v>575907</v>
      </c>
      <c r="Y44" s="178">
        <f aca="true" t="shared" si="30" ref="Y44:Y71">+X44-V44</f>
        <v>-660600.0900000001</v>
      </c>
      <c r="Z44" s="37">
        <f t="shared" si="25"/>
        <v>-1.1470603587037491</v>
      </c>
      <c r="AB44" s="35">
        <v>3103</v>
      </c>
      <c r="AC44" s="30" t="s">
        <v>75</v>
      </c>
      <c r="AD44" s="128">
        <f>+O44</f>
        <v>2731889.27</v>
      </c>
      <c r="AE44" s="128">
        <v>5169732</v>
      </c>
      <c r="AF44" s="209"/>
      <c r="AG44" s="128">
        <f>AE44+AF44</f>
        <v>5169732</v>
      </c>
      <c r="AH44" s="128">
        <f aca="true" t="shared" si="31" ref="AH44:AH51">AI44-AG44</f>
        <v>0</v>
      </c>
      <c r="AI44" s="128">
        <v>5169732</v>
      </c>
      <c r="AJ44" s="128">
        <f aca="true" t="shared" si="32" ref="AJ44:AJ51">AI44-AD44</f>
        <v>2437842.73</v>
      </c>
      <c r="AK44" s="164">
        <f aca="true" t="shared" si="33" ref="AK44:AK51">+AJ44/AI44</f>
        <v>0.4715607559540804</v>
      </c>
    </row>
    <row r="45" spans="1:37" s="26" customFormat="1" ht="18">
      <c r="A45" s="306">
        <v>3104</v>
      </c>
      <c r="B45" s="307" t="s">
        <v>16</v>
      </c>
      <c r="C45" s="241">
        <v>332</v>
      </c>
      <c r="D45" s="241">
        <v>77579</v>
      </c>
      <c r="E45" s="241">
        <v>133144</v>
      </c>
      <c r="F45" s="241">
        <v>117317.36</v>
      </c>
      <c r="G45" s="241"/>
      <c r="H45" s="241"/>
      <c r="I45" s="241"/>
      <c r="J45" s="241"/>
      <c r="K45" s="241"/>
      <c r="L45" s="241"/>
      <c r="M45" s="241"/>
      <c r="N45" s="241"/>
      <c r="O45" s="241">
        <f t="shared" si="27"/>
        <v>328372.36</v>
      </c>
      <c r="P45" s="241">
        <v>374928</v>
      </c>
      <c r="Q45" s="241">
        <f t="shared" si="28"/>
        <v>46555.640000000014</v>
      </c>
      <c r="R45" s="308">
        <f t="shared" si="29"/>
        <v>0.12417221439849788</v>
      </c>
      <c r="S45" s="34"/>
      <c r="T45" s="306">
        <v>3104</v>
      </c>
      <c r="U45" s="307" t="s">
        <v>16</v>
      </c>
      <c r="V45" s="241">
        <f aca="true" t="shared" si="34" ref="V45:V71">F45</f>
        <v>117317.36</v>
      </c>
      <c r="W45" s="309">
        <f>+V45/$V$87</f>
        <v>0.0009919094949966496</v>
      </c>
      <c r="X45" s="241">
        <v>93732</v>
      </c>
      <c r="Y45" s="326">
        <f t="shared" si="30"/>
        <v>-23585.36</v>
      </c>
      <c r="Z45" s="310">
        <f t="shared" si="25"/>
        <v>-0.25162548542653523</v>
      </c>
      <c r="AB45" s="306">
        <v>3104</v>
      </c>
      <c r="AC45" s="307" t="s">
        <v>16</v>
      </c>
      <c r="AD45" s="311">
        <f aca="true" t="shared" si="35" ref="AD45:AD71">+O45</f>
        <v>328372.36</v>
      </c>
      <c r="AE45" s="311">
        <v>1124786</v>
      </c>
      <c r="AF45" s="312"/>
      <c r="AG45" s="311">
        <f aca="true" t="shared" si="36" ref="AG45:AG71">AE45+AF45</f>
        <v>1124786</v>
      </c>
      <c r="AH45" s="311">
        <f t="shared" si="31"/>
        <v>0</v>
      </c>
      <c r="AI45" s="311">
        <v>1124786</v>
      </c>
      <c r="AJ45" s="311">
        <f t="shared" si="32"/>
        <v>796413.64</v>
      </c>
      <c r="AK45" s="313">
        <f t="shared" si="33"/>
        <v>0.7080579239073033</v>
      </c>
    </row>
    <row r="46" spans="1:37" ht="18">
      <c r="A46" s="35">
        <v>3105</v>
      </c>
      <c r="B46" s="30" t="s">
        <v>55</v>
      </c>
      <c r="C46" s="16">
        <v>3894</v>
      </c>
      <c r="D46" s="16">
        <v>719</v>
      </c>
      <c r="E46" s="16">
        <v>8748.36</v>
      </c>
      <c r="F46" s="16">
        <v>3067.41</v>
      </c>
      <c r="G46" s="16"/>
      <c r="H46" s="16"/>
      <c r="I46" s="16"/>
      <c r="J46" s="16"/>
      <c r="K46" s="16"/>
      <c r="L46" s="16"/>
      <c r="M46" s="16"/>
      <c r="N46" s="16"/>
      <c r="O46" s="16">
        <f t="shared" si="27"/>
        <v>16428.77</v>
      </c>
      <c r="P46" s="178">
        <v>34892</v>
      </c>
      <c r="Q46" s="178">
        <f t="shared" si="28"/>
        <v>18463.23</v>
      </c>
      <c r="R46" s="150">
        <f t="shared" si="29"/>
        <v>0.5291536741946578</v>
      </c>
      <c r="S46" s="34"/>
      <c r="T46" s="35">
        <v>3105</v>
      </c>
      <c r="U46" s="30" t="s">
        <v>55</v>
      </c>
      <c r="V46" s="16">
        <f t="shared" si="34"/>
        <v>3067.41</v>
      </c>
      <c r="W46" s="219">
        <f>+V46/$V$87</f>
        <v>2.5934721886408563E-05</v>
      </c>
      <c r="X46" s="16">
        <v>8723</v>
      </c>
      <c r="Y46" s="178">
        <f t="shared" si="30"/>
        <v>5655.59</v>
      </c>
      <c r="Z46" s="37">
        <f t="shared" si="25"/>
        <v>0.6483537773701709</v>
      </c>
      <c r="AB46" s="35">
        <v>3105</v>
      </c>
      <c r="AC46" s="30" t="s">
        <v>55</v>
      </c>
      <c r="AD46" s="128">
        <f t="shared" si="35"/>
        <v>16428.77</v>
      </c>
      <c r="AE46" s="128">
        <v>52339</v>
      </c>
      <c r="AF46" s="209"/>
      <c r="AG46" s="128">
        <f t="shared" si="36"/>
        <v>52339</v>
      </c>
      <c r="AH46" s="128">
        <f t="shared" si="31"/>
        <v>0</v>
      </c>
      <c r="AI46" s="128">
        <v>52339</v>
      </c>
      <c r="AJ46" s="128">
        <f t="shared" si="32"/>
        <v>35910.229999999996</v>
      </c>
      <c r="AK46" s="164">
        <f t="shared" si="33"/>
        <v>0.6861084468560729</v>
      </c>
    </row>
    <row r="47" spans="1:37" s="26" customFormat="1" ht="18">
      <c r="A47" s="306">
        <v>3201</v>
      </c>
      <c r="B47" s="307" t="s">
        <v>208</v>
      </c>
      <c r="C47" s="241">
        <v>888510.37</v>
      </c>
      <c r="D47" s="241">
        <v>888510.57</v>
      </c>
      <c r="E47" s="241">
        <v>879230.57</v>
      </c>
      <c r="F47" s="241">
        <v>891130.57</v>
      </c>
      <c r="G47" s="241"/>
      <c r="H47" s="241"/>
      <c r="I47" s="241"/>
      <c r="J47" s="241"/>
      <c r="K47" s="241"/>
      <c r="L47" s="241"/>
      <c r="M47" s="241"/>
      <c r="N47" s="241"/>
      <c r="O47" s="241">
        <f t="shared" si="27"/>
        <v>3547382.0799999996</v>
      </c>
      <c r="P47" s="241">
        <v>3765196</v>
      </c>
      <c r="Q47" s="241">
        <f t="shared" si="28"/>
        <v>217813.9200000004</v>
      </c>
      <c r="R47" s="308">
        <f t="shared" si="29"/>
        <v>0.057849291245396096</v>
      </c>
      <c r="S47" s="34"/>
      <c r="T47" s="306">
        <v>3201</v>
      </c>
      <c r="U47" s="307" t="s">
        <v>208</v>
      </c>
      <c r="V47" s="241">
        <f t="shared" si="34"/>
        <v>891130.57</v>
      </c>
      <c r="W47" s="309">
        <f>+V47/$V$87</f>
        <v>0.0075344422484854455</v>
      </c>
      <c r="X47" s="241">
        <v>1241299</v>
      </c>
      <c r="Y47" s="241">
        <f t="shared" si="30"/>
        <v>350168.43000000005</v>
      </c>
      <c r="Z47" s="310">
        <f t="shared" si="25"/>
        <v>0.2820983743642749</v>
      </c>
      <c r="AB47" s="306">
        <v>3201</v>
      </c>
      <c r="AC47" s="307" t="s">
        <v>208</v>
      </c>
      <c r="AD47" s="311">
        <f t="shared" si="35"/>
        <v>3547382.0799999996</v>
      </c>
      <c r="AE47" s="311">
        <v>15313927</v>
      </c>
      <c r="AF47" s="312">
        <v>-5005000</v>
      </c>
      <c r="AG47" s="311">
        <f t="shared" si="36"/>
        <v>10308927</v>
      </c>
      <c r="AH47" s="311">
        <f t="shared" si="31"/>
        <v>0</v>
      </c>
      <c r="AI47" s="311">
        <v>10308927</v>
      </c>
      <c r="AJ47" s="311">
        <f t="shared" si="32"/>
        <v>6761544.92</v>
      </c>
      <c r="AK47" s="313">
        <f t="shared" si="33"/>
        <v>0.655892210702433</v>
      </c>
    </row>
    <row r="48" spans="1:37" ht="18">
      <c r="A48" s="35">
        <v>3203</v>
      </c>
      <c r="B48" s="30" t="s">
        <v>207</v>
      </c>
      <c r="C48" s="16">
        <v>42690.66</v>
      </c>
      <c r="D48" s="16">
        <v>0</v>
      </c>
      <c r="E48" s="16">
        <v>80839.46</v>
      </c>
      <c r="F48" s="16">
        <v>79014.38</v>
      </c>
      <c r="G48" s="16"/>
      <c r="H48" s="16"/>
      <c r="I48" s="16"/>
      <c r="J48" s="16"/>
      <c r="K48" s="16"/>
      <c r="L48" s="16"/>
      <c r="M48" s="16"/>
      <c r="N48" s="16"/>
      <c r="O48" s="16">
        <f t="shared" si="27"/>
        <v>202544.5</v>
      </c>
      <c r="P48" s="16">
        <v>753924</v>
      </c>
      <c r="Q48" s="16">
        <f t="shared" si="28"/>
        <v>551379.5</v>
      </c>
      <c r="R48" s="150">
        <f t="shared" si="29"/>
        <v>0.7313462630185535</v>
      </c>
      <c r="S48" s="34"/>
      <c r="T48" s="35">
        <v>3203</v>
      </c>
      <c r="U48" s="30" t="s">
        <v>207</v>
      </c>
      <c r="V48" s="16">
        <f t="shared" si="34"/>
        <v>79014.38</v>
      </c>
      <c r="W48" s="219">
        <f>+V48/$V$87</f>
        <v>0.000668060666923236</v>
      </c>
      <c r="X48" s="16">
        <v>155981</v>
      </c>
      <c r="Y48" s="178">
        <f t="shared" si="30"/>
        <v>76966.62</v>
      </c>
      <c r="Z48" s="37">
        <f t="shared" si="25"/>
        <v>0.4934358671889525</v>
      </c>
      <c r="AB48" s="35">
        <v>3203</v>
      </c>
      <c r="AC48" s="30" t="s">
        <v>207</v>
      </c>
      <c r="AD48" s="128">
        <f t="shared" si="35"/>
        <v>202544.5</v>
      </c>
      <c r="AE48" s="128">
        <v>1959776</v>
      </c>
      <c r="AF48" s="209"/>
      <c r="AG48" s="128">
        <f t="shared" si="36"/>
        <v>1959776</v>
      </c>
      <c r="AH48" s="128">
        <f t="shared" si="31"/>
        <v>0</v>
      </c>
      <c r="AI48" s="128">
        <v>1959776</v>
      </c>
      <c r="AJ48" s="128">
        <f t="shared" si="32"/>
        <v>1757231.5</v>
      </c>
      <c r="AK48" s="164">
        <f t="shared" si="33"/>
        <v>0.8966491578629394</v>
      </c>
    </row>
    <row r="49" spans="1:37" ht="18">
      <c r="A49" s="35" t="s">
        <v>295</v>
      </c>
      <c r="B49" s="30" t="s">
        <v>294</v>
      </c>
      <c r="C49" s="16"/>
      <c r="D49" s="16"/>
      <c r="E49" s="16"/>
      <c r="F49" s="16">
        <v>34994.88</v>
      </c>
      <c r="G49" s="16"/>
      <c r="H49" s="16"/>
      <c r="I49" s="16"/>
      <c r="J49" s="16"/>
      <c r="K49" s="16"/>
      <c r="L49" s="16"/>
      <c r="M49" s="16"/>
      <c r="N49" s="16"/>
      <c r="O49" s="16">
        <f t="shared" si="27"/>
        <v>34994.88</v>
      </c>
      <c r="P49" s="16">
        <v>0</v>
      </c>
      <c r="Q49" s="16">
        <f t="shared" si="28"/>
        <v>-34994.88</v>
      </c>
      <c r="R49" s="150"/>
      <c r="S49" s="34"/>
      <c r="T49" s="35" t="s">
        <v>295</v>
      </c>
      <c r="U49" s="30" t="s">
        <v>294</v>
      </c>
      <c r="V49" s="16">
        <f t="shared" si="34"/>
        <v>34994.88</v>
      </c>
      <c r="W49" s="219"/>
      <c r="X49" s="16">
        <v>0</v>
      </c>
      <c r="Y49" s="178">
        <f t="shared" si="30"/>
        <v>-34994.88</v>
      </c>
      <c r="Z49" s="37"/>
      <c r="AB49" s="35" t="s">
        <v>295</v>
      </c>
      <c r="AC49" s="30" t="s">
        <v>294</v>
      </c>
      <c r="AD49" s="128">
        <f t="shared" si="35"/>
        <v>34994.88</v>
      </c>
      <c r="AE49" s="128"/>
      <c r="AF49" s="209"/>
      <c r="AG49" s="128"/>
      <c r="AH49" s="128"/>
      <c r="AI49" s="128"/>
      <c r="AJ49" s="128">
        <f t="shared" si="32"/>
        <v>-34994.88</v>
      </c>
      <c r="AK49" s="164"/>
    </row>
    <row r="50" spans="1:37" s="26" customFormat="1" ht="18">
      <c r="A50" s="306" t="s">
        <v>249</v>
      </c>
      <c r="B50" s="307" t="s">
        <v>250</v>
      </c>
      <c r="C50" s="241"/>
      <c r="D50" s="241"/>
      <c r="E50" s="241"/>
      <c r="F50" s="241"/>
      <c r="G50" s="241"/>
      <c r="H50" s="241"/>
      <c r="I50" s="241"/>
      <c r="J50" s="241"/>
      <c r="K50" s="241"/>
      <c r="L50" s="241"/>
      <c r="M50" s="241"/>
      <c r="N50" s="241"/>
      <c r="O50" s="241">
        <f>+D50+C50+E50+F50+G50+H50+I50+J50+K50+L50+M50+N50</f>
        <v>0</v>
      </c>
      <c r="P50" s="241">
        <v>13092</v>
      </c>
      <c r="Q50" s="241">
        <f>+P50-O50</f>
        <v>13092</v>
      </c>
      <c r="R50" s="308">
        <f>+Q50/P50</f>
        <v>1</v>
      </c>
      <c r="S50" s="34"/>
      <c r="T50" s="306" t="s">
        <v>249</v>
      </c>
      <c r="U50" s="307" t="s">
        <v>250</v>
      </c>
      <c r="V50" s="241">
        <f t="shared" si="34"/>
        <v>0</v>
      </c>
      <c r="W50" s="309">
        <f aca="true" t="shared" si="37" ref="W50:W59">+V50/$V$87</f>
        <v>0</v>
      </c>
      <c r="X50" s="241">
        <v>3273</v>
      </c>
      <c r="Y50" s="241">
        <f>+X50-V50</f>
        <v>3273</v>
      </c>
      <c r="Z50" s="310">
        <f t="shared" si="25"/>
        <v>1</v>
      </c>
      <c r="AB50" s="306" t="s">
        <v>249</v>
      </c>
      <c r="AC50" s="307" t="s">
        <v>250</v>
      </c>
      <c r="AD50" s="311">
        <f t="shared" si="35"/>
        <v>0</v>
      </c>
      <c r="AE50" s="311">
        <v>36000</v>
      </c>
      <c r="AF50" s="312"/>
      <c r="AG50" s="311">
        <f t="shared" si="36"/>
        <v>36000</v>
      </c>
      <c r="AH50" s="311">
        <f t="shared" si="31"/>
        <v>0</v>
      </c>
      <c r="AI50" s="311">
        <v>36000</v>
      </c>
      <c r="AJ50" s="311">
        <f t="shared" si="32"/>
        <v>36000</v>
      </c>
      <c r="AK50" s="313">
        <f t="shared" si="33"/>
        <v>1</v>
      </c>
    </row>
    <row r="51" spans="1:37" ht="18">
      <c r="A51" s="35" t="s">
        <v>198</v>
      </c>
      <c r="B51" s="30" t="s">
        <v>195</v>
      </c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>
        <f>+D51+C51+E51+F51+G51+H51+I51+J51+K51+L51+M51+N51</f>
        <v>0</v>
      </c>
      <c r="P51" s="16">
        <v>6332</v>
      </c>
      <c r="Q51" s="16">
        <f>+P51-O51</f>
        <v>6332</v>
      </c>
      <c r="R51" s="150">
        <f>+Q51/P51</f>
        <v>1</v>
      </c>
      <c r="S51" s="34"/>
      <c r="T51" s="35" t="s">
        <v>198</v>
      </c>
      <c r="U51" s="30" t="s">
        <v>195</v>
      </c>
      <c r="V51" s="16">
        <f t="shared" si="34"/>
        <v>0</v>
      </c>
      <c r="W51" s="219">
        <f t="shared" si="37"/>
        <v>0</v>
      </c>
      <c r="X51" s="16">
        <v>1583</v>
      </c>
      <c r="Y51" s="178">
        <f>+X51-V51</f>
        <v>1583</v>
      </c>
      <c r="Z51" s="37">
        <f t="shared" si="25"/>
        <v>1</v>
      </c>
      <c r="AB51" s="35" t="s">
        <v>198</v>
      </c>
      <c r="AC51" s="30" t="s">
        <v>195</v>
      </c>
      <c r="AD51" s="128">
        <f t="shared" si="35"/>
        <v>0</v>
      </c>
      <c r="AE51" s="128">
        <v>1069000</v>
      </c>
      <c r="AF51" s="209"/>
      <c r="AG51" s="128">
        <f t="shared" si="36"/>
        <v>1069000</v>
      </c>
      <c r="AH51" s="128">
        <f t="shared" si="31"/>
        <v>0</v>
      </c>
      <c r="AI51" s="128">
        <v>1069000</v>
      </c>
      <c r="AJ51" s="128">
        <f t="shared" si="32"/>
        <v>1069000</v>
      </c>
      <c r="AK51" s="164">
        <f t="shared" si="33"/>
        <v>1</v>
      </c>
    </row>
    <row r="52" spans="1:37" ht="18" hidden="1">
      <c r="A52" s="35" t="s">
        <v>251</v>
      </c>
      <c r="B52" s="30" t="s">
        <v>252</v>
      </c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>
        <f t="shared" si="27"/>
        <v>0</v>
      </c>
      <c r="P52" s="16">
        <v>0</v>
      </c>
      <c r="Q52" s="16">
        <f t="shared" si="28"/>
        <v>0</v>
      </c>
      <c r="R52" s="150"/>
      <c r="S52" s="34"/>
      <c r="T52" s="35" t="s">
        <v>251</v>
      </c>
      <c r="U52" s="30" t="s">
        <v>252</v>
      </c>
      <c r="V52" s="16">
        <f t="shared" si="34"/>
        <v>0</v>
      </c>
      <c r="W52" s="219">
        <f t="shared" si="37"/>
        <v>0</v>
      </c>
      <c r="X52" s="16">
        <v>0</v>
      </c>
      <c r="Y52" s="178">
        <v>0</v>
      </c>
      <c r="Z52" s="37"/>
      <c r="AB52" s="35" t="s">
        <v>251</v>
      </c>
      <c r="AC52" s="30" t="s">
        <v>252</v>
      </c>
      <c r="AD52" s="128">
        <f t="shared" si="35"/>
        <v>0</v>
      </c>
      <c r="AE52" s="128">
        <v>0</v>
      </c>
      <c r="AF52" s="209"/>
      <c r="AG52" s="128">
        <f t="shared" si="36"/>
        <v>0</v>
      </c>
      <c r="AH52" s="128">
        <f aca="true" t="shared" si="38" ref="AH52:AH71">AI52-AG52</f>
        <v>0</v>
      </c>
      <c r="AI52" s="128"/>
      <c r="AJ52" s="128">
        <f aca="true" t="shared" si="39" ref="AJ52:AJ71">AI52-AD52</f>
        <v>0</v>
      </c>
      <c r="AK52" s="164"/>
    </row>
    <row r="53" spans="1:37" s="26" customFormat="1" ht="18">
      <c r="A53" s="306" t="s">
        <v>199</v>
      </c>
      <c r="B53" s="307" t="s">
        <v>196</v>
      </c>
      <c r="C53" s="241">
        <v>120844.29</v>
      </c>
      <c r="D53" s="241">
        <v>377768</v>
      </c>
      <c r="E53" s="241">
        <v>159164.64</v>
      </c>
      <c r="F53" s="241">
        <v>842536.8</v>
      </c>
      <c r="G53" s="241"/>
      <c r="H53" s="241"/>
      <c r="I53" s="241"/>
      <c r="J53" s="241"/>
      <c r="K53" s="241"/>
      <c r="L53" s="241"/>
      <c r="M53" s="241"/>
      <c r="N53" s="241"/>
      <c r="O53" s="241">
        <f t="shared" si="27"/>
        <v>1500313.73</v>
      </c>
      <c r="P53" s="241">
        <v>3780001</v>
      </c>
      <c r="Q53" s="241">
        <f t="shared" si="28"/>
        <v>2279687.27</v>
      </c>
      <c r="R53" s="308">
        <f t="shared" si="29"/>
        <v>0.6030917108222987</v>
      </c>
      <c r="S53" s="34"/>
      <c r="T53" s="306" t="s">
        <v>199</v>
      </c>
      <c r="U53" s="307" t="s">
        <v>196</v>
      </c>
      <c r="V53" s="241">
        <f t="shared" si="34"/>
        <v>842536.8</v>
      </c>
      <c r="W53" s="309">
        <f t="shared" si="37"/>
        <v>0.007123585561455638</v>
      </c>
      <c r="X53" s="241">
        <v>0</v>
      </c>
      <c r="Y53" s="326">
        <f>+X53-V53</f>
        <v>-842536.8</v>
      </c>
      <c r="Z53" s="310"/>
      <c r="AB53" s="306" t="s">
        <v>199</v>
      </c>
      <c r="AC53" s="307" t="s">
        <v>196</v>
      </c>
      <c r="AD53" s="311">
        <f t="shared" si="35"/>
        <v>1500313.73</v>
      </c>
      <c r="AE53" s="311">
        <v>1280000</v>
      </c>
      <c r="AF53" s="312">
        <v>11400000</v>
      </c>
      <c r="AG53" s="311">
        <f t="shared" si="36"/>
        <v>12680000</v>
      </c>
      <c r="AH53" s="311">
        <f t="shared" si="38"/>
        <v>-8900000</v>
      </c>
      <c r="AI53" s="311">
        <v>3780000</v>
      </c>
      <c r="AJ53" s="311">
        <f t="shared" si="39"/>
        <v>2279686.27</v>
      </c>
      <c r="AK53" s="313">
        <f aca="true" t="shared" si="40" ref="AK53:AK71">+AJ53/AI53</f>
        <v>0.6030916058201058</v>
      </c>
    </row>
    <row r="54" spans="1:37" ht="18">
      <c r="A54" s="35" t="s">
        <v>253</v>
      </c>
      <c r="B54" s="124" t="s">
        <v>254</v>
      </c>
      <c r="C54" s="16"/>
      <c r="D54" s="16">
        <v>1751289</v>
      </c>
      <c r="E54" s="16">
        <v>0</v>
      </c>
      <c r="F54" s="16"/>
      <c r="G54" s="16"/>
      <c r="H54" s="16"/>
      <c r="I54" s="16"/>
      <c r="J54" s="16"/>
      <c r="K54" s="16"/>
      <c r="L54" s="16"/>
      <c r="M54" s="16"/>
      <c r="N54" s="16"/>
      <c r="O54" s="16">
        <f>+D54+C54+E54+F54+G54+H54+I54+J54+K54+L54+M54+N54</f>
        <v>1751289</v>
      </c>
      <c r="P54" s="16">
        <v>5440100</v>
      </c>
      <c r="Q54" s="16">
        <f>+P54-O54</f>
        <v>3688811</v>
      </c>
      <c r="R54" s="150">
        <f>+Q54/P54</f>
        <v>0.6780777926876345</v>
      </c>
      <c r="S54" s="34"/>
      <c r="T54" s="35" t="s">
        <v>253</v>
      </c>
      <c r="U54" s="124" t="s">
        <v>254</v>
      </c>
      <c r="V54" s="16">
        <f t="shared" si="34"/>
        <v>0</v>
      </c>
      <c r="W54" s="218">
        <f t="shared" si="37"/>
        <v>0</v>
      </c>
      <c r="X54" s="16">
        <v>3610025</v>
      </c>
      <c r="Y54" s="178">
        <f>+X54-V54</f>
        <v>3610025</v>
      </c>
      <c r="Z54" s="37">
        <f>+Y54/X54</f>
        <v>1</v>
      </c>
      <c r="AB54" s="35" t="s">
        <v>253</v>
      </c>
      <c r="AC54" s="124" t="s">
        <v>254</v>
      </c>
      <c r="AD54" s="128">
        <f t="shared" si="35"/>
        <v>1751289</v>
      </c>
      <c r="AE54" s="128">
        <v>2898962</v>
      </c>
      <c r="AF54" s="209">
        <v>10000000</v>
      </c>
      <c r="AG54" s="128">
        <f t="shared" si="36"/>
        <v>12898962</v>
      </c>
      <c r="AH54" s="209">
        <f t="shared" si="38"/>
        <v>-7258863</v>
      </c>
      <c r="AI54" s="128">
        <v>5640099</v>
      </c>
      <c r="AJ54" s="128">
        <f>AI54-AD54</f>
        <v>3888810</v>
      </c>
      <c r="AK54" s="164">
        <f>+AJ54/AI54</f>
        <v>0.6894932163424791</v>
      </c>
    </row>
    <row r="55" spans="1:37" s="26" customFormat="1" ht="18">
      <c r="A55" s="306">
        <v>3304</v>
      </c>
      <c r="B55" s="307" t="s">
        <v>136</v>
      </c>
      <c r="C55" s="241"/>
      <c r="D55" s="241">
        <v>30000</v>
      </c>
      <c r="E55" s="241">
        <v>63376</v>
      </c>
      <c r="F55" s="241"/>
      <c r="G55" s="241"/>
      <c r="H55" s="241"/>
      <c r="I55" s="241"/>
      <c r="J55" s="241"/>
      <c r="K55" s="241"/>
      <c r="L55" s="241"/>
      <c r="M55" s="241"/>
      <c r="N55" s="241"/>
      <c r="O55" s="241">
        <f t="shared" si="27"/>
        <v>93376</v>
      </c>
      <c r="P55" s="241">
        <v>63956</v>
      </c>
      <c r="Q55" s="241">
        <f t="shared" si="28"/>
        <v>-29420</v>
      </c>
      <c r="R55" s="308">
        <f t="shared" si="29"/>
        <v>-0.4600037525798987</v>
      </c>
      <c r="S55" s="34"/>
      <c r="T55" s="306">
        <v>3304</v>
      </c>
      <c r="U55" s="307" t="s">
        <v>136</v>
      </c>
      <c r="V55" s="241">
        <f t="shared" si="34"/>
        <v>0</v>
      </c>
      <c r="W55" s="309">
        <f t="shared" si="37"/>
        <v>0</v>
      </c>
      <c r="X55" s="241">
        <v>15989</v>
      </c>
      <c r="Y55" s="241">
        <f t="shared" si="30"/>
        <v>15989</v>
      </c>
      <c r="Z55" s="310">
        <f>+Y55/X55</f>
        <v>1</v>
      </c>
      <c r="AB55" s="306">
        <v>3304</v>
      </c>
      <c r="AC55" s="307" t="s">
        <v>136</v>
      </c>
      <c r="AD55" s="311">
        <f t="shared" si="35"/>
        <v>93376</v>
      </c>
      <c r="AE55" s="311">
        <v>205032</v>
      </c>
      <c r="AF55" s="312"/>
      <c r="AG55" s="311">
        <f t="shared" si="36"/>
        <v>205032</v>
      </c>
      <c r="AH55" s="311">
        <f t="shared" si="38"/>
        <v>0</v>
      </c>
      <c r="AI55" s="311">
        <v>205032</v>
      </c>
      <c r="AJ55" s="311">
        <f t="shared" si="39"/>
        <v>111656</v>
      </c>
      <c r="AK55" s="313">
        <f t="shared" si="40"/>
        <v>0.544578407273011</v>
      </c>
    </row>
    <row r="56" spans="1:143" s="45" customFormat="1" ht="18">
      <c r="A56" s="35">
        <v>3402</v>
      </c>
      <c r="B56" s="30" t="s">
        <v>77</v>
      </c>
      <c r="C56" s="16">
        <v>5003.11</v>
      </c>
      <c r="D56" s="16">
        <v>23805.08</v>
      </c>
      <c r="E56" s="16">
        <v>29820.73</v>
      </c>
      <c r="F56" s="16">
        <v>21070.49</v>
      </c>
      <c r="G56" s="16"/>
      <c r="H56" s="16"/>
      <c r="I56" s="16"/>
      <c r="J56" s="16"/>
      <c r="K56" s="16"/>
      <c r="L56" s="16"/>
      <c r="M56" s="16"/>
      <c r="N56" s="16"/>
      <c r="O56" s="16">
        <f t="shared" si="27"/>
        <v>79699.41</v>
      </c>
      <c r="P56" s="16">
        <v>59000</v>
      </c>
      <c r="Q56" s="16">
        <f t="shared" si="28"/>
        <v>-20699.410000000003</v>
      </c>
      <c r="R56" s="150">
        <f t="shared" si="29"/>
        <v>-0.3508374576271187</v>
      </c>
      <c r="S56" s="34"/>
      <c r="T56" s="35">
        <v>3402</v>
      </c>
      <c r="U56" s="30" t="s">
        <v>77</v>
      </c>
      <c r="V56" s="16">
        <f t="shared" si="34"/>
        <v>21070.49</v>
      </c>
      <c r="W56" s="218">
        <f t="shared" si="37"/>
        <v>0.00017814941535704482</v>
      </c>
      <c r="X56" s="16">
        <v>14750</v>
      </c>
      <c r="Y56" s="178">
        <f t="shared" si="30"/>
        <v>-6320.490000000002</v>
      </c>
      <c r="Z56" s="37">
        <f>+Y56/X56</f>
        <v>-0.4285077966101696</v>
      </c>
      <c r="AA56" s="22"/>
      <c r="AB56" s="35">
        <v>3402</v>
      </c>
      <c r="AC56" s="30" t="s">
        <v>77</v>
      </c>
      <c r="AD56" s="128">
        <f t="shared" si="35"/>
        <v>79699.41</v>
      </c>
      <c r="AE56" s="128">
        <v>314500</v>
      </c>
      <c r="AF56" s="209">
        <v>-31500</v>
      </c>
      <c r="AG56" s="128">
        <f t="shared" si="36"/>
        <v>283000</v>
      </c>
      <c r="AH56" s="128">
        <f t="shared" si="38"/>
        <v>0</v>
      </c>
      <c r="AI56" s="128">
        <v>283000</v>
      </c>
      <c r="AJ56" s="128">
        <f t="shared" si="39"/>
        <v>203300.59</v>
      </c>
      <c r="AK56" s="164">
        <f t="shared" si="40"/>
        <v>0.7183766431095406</v>
      </c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2"/>
      <c r="BX56" s="22"/>
      <c r="BY56" s="22"/>
      <c r="BZ56" s="22"/>
      <c r="CA56" s="22"/>
      <c r="CB56" s="22"/>
      <c r="CC56" s="22"/>
      <c r="CD56" s="22"/>
      <c r="CE56" s="22"/>
      <c r="CF56" s="22"/>
      <c r="CG56" s="22"/>
      <c r="CH56" s="22"/>
      <c r="CI56" s="22"/>
      <c r="CJ56" s="22"/>
      <c r="CK56" s="22"/>
      <c r="CL56" s="22"/>
      <c r="CM56" s="22"/>
      <c r="CN56" s="22"/>
      <c r="CO56" s="22"/>
      <c r="CP56" s="22"/>
      <c r="CQ56" s="22"/>
      <c r="CR56" s="22"/>
      <c r="CS56" s="22"/>
      <c r="CT56" s="22"/>
      <c r="CU56" s="22"/>
      <c r="CV56" s="22"/>
      <c r="CW56" s="22"/>
      <c r="CX56" s="22"/>
      <c r="CY56" s="22"/>
      <c r="CZ56" s="22"/>
      <c r="DA56" s="22"/>
      <c r="DB56" s="22"/>
      <c r="DC56" s="22"/>
      <c r="DD56" s="22"/>
      <c r="DE56" s="22"/>
      <c r="DF56" s="22"/>
      <c r="DG56" s="22"/>
      <c r="DH56" s="22"/>
      <c r="DI56" s="22"/>
      <c r="DJ56" s="22"/>
      <c r="DK56" s="22"/>
      <c r="DL56" s="22"/>
      <c r="DM56" s="22"/>
      <c r="DN56" s="22"/>
      <c r="DO56" s="22"/>
      <c r="DP56" s="22"/>
      <c r="DQ56" s="22"/>
      <c r="DR56" s="22"/>
      <c r="DS56" s="22"/>
      <c r="DT56" s="22"/>
      <c r="DU56" s="22"/>
      <c r="DV56" s="22"/>
      <c r="DW56" s="22"/>
      <c r="DX56" s="22"/>
      <c r="DY56" s="22"/>
      <c r="DZ56" s="22"/>
      <c r="EA56" s="22"/>
      <c r="EB56" s="22"/>
      <c r="EC56" s="22"/>
      <c r="ED56" s="22"/>
      <c r="EE56" s="22"/>
      <c r="EF56" s="22"/>
      <c r="EG56" s="22"/>
      <c r="EH56" s="22"/>
      <c r="EI56" s="22"/>
      <c r="EJ56" s="22"/>
      <c r="EK56" s="22"/>
      <c r="EL56" s="22"/>
      <c r="EM56" s="22"/>
    </row>
    <row r="57" spans="1:37" s="26" customFormat="1" ht="18">
      <c r="A57" s="306" t="s">
        <v>192</v>
      </c>
      <c r="B57" s="307" t="s">
        <v>188</v>
      </c>
      <c r="C57" s="241">
        <v>16008</v>
      </c>
      <c r="D57" s="241">
        <v>8004</v>
      </c>
      <c r="E57" s="241">
        <v>16008</v>
      </c>
      <c r="F57" s="241">
        <v>25172</v>
      </c>
      <c r="G57" s="241"/>
      <c r="H57" s="241"/>
      <c r="I57" s="241"/>
      <c r="J57" s="241"/>
      <c r="K57" s="241"/>
      <c r="L57" s="241"/>
      <c r="M57" s="241"/>
      <c r="N57" s="241"/>
      <c r="O57" s="241">
        <f t="shared" si="27"/>
        <v>65192</v>
      </c>
      <c r="P57" s="241">
        <v>150000</v>
      </c>
      <c r="Q57" s="241">
        <f t="shared" si="28"/>
        <v>84808</v>
      </c>
      <c r="R57" s="308">
        <f t="shared" si="29"/>
        <v>0.5653866666666667</v>
      </c>
      <c r="S57" s="34"/>
      <c r="T57" s="306" t="s">
        <v>192</v>
      </c>
      <c r="U57" s="307" t="s">
        <v>188</v>
      </c>
      <c r="V57" s="241">
        <f t="shared" si="34"/>
        <v>25172</v>
      </c>
      <c r="W57" s="309">
        <f t="shared" si="37"/>
        <v>0.00021282737531815976</v>
      </c>
      <c r="X57" s="241">
        <v>90000</v>
      </c>
      <c r="Y57" s="241">
        <f t="shared" si="30"/>
        <v>64828</v>
      </c>
      <c r="Z57" s="310">
        <f>+Y57/X57</f>
        <v>0.7203111111111111</v>
      </c>
      <c r="AB57" s="306" t="s">
        <v>192</v>
      </c>
      <c r="AC57" s="307" t="s">
        <v>188</v>
      </c>
      <c r="AD57" s="311">
        <f t="shared" si="35"/>
        <v>65192</v>
      </c>
      <c r="AE57" s="311">
        <v>450000</v>
      </c>
      <c r="AF57" s="312"/>
      <c r="AG57" s="311">
        <f t="shared" si="36"/>
        <v>450000</v>
      </c>
      <c r="AH57" s="311">
        <f t="shared" si="38"/>
        <v>0</v>
      </c>
      <c r="AI57" s="311">
        <v>450000</v>
      </c>
      <c r="AJ57" s="311">
        <f t="shared" si="39"/>
        <v>384808</v>
      </c>
      <c r="AK57" s="313">
        <f t="shared" si="40"/>
        <v>0.8551288888888889</v>
      </c>
    </row>
    <row r="58" spans="1:143" s="45" customFormat="1" ht="18">
      <c r="A58" s="35" t="s">
        <v>230</v>
      </c>
      <c r="B58" s="30" t="s">
        <v>17</v>
      </c>
      <c r="C58" s="16">
        <v>7379.1</v>
      </c>
      <c r="D58" s="16">
        <v>142377.04</v>
      </c>
      <c r="E58" s="16">
        <v>1503941.1</v>
      </c>
      <c r="F58" s="16">
        <v>36486.81</v>
      </c>
      <c r="G58" s="16"/>
      <c r="H58" s="16"/>
      <c r="I58" s="16"/>
      <c r="J58" s="16"/>
      <c r="K58" s="16"/>
      <c r="L58" s="16"/>
      <c r="M58" s="16"/>
      <c r="N58" s="16"/>
      <c r="O58" s="16">
        <f t="shared" si="27"/>
        <v>1690184.0500000003</v>
      </c>
      <c r="P58" s="178">
        <v>1937000</v>
      </c>
      <c r="Q58" s="178">
        <f t="shared" si="28"/>
        <v>246815.94999999972</v>
      </c>
      <c r="R58" s="150">
        <f t="shared" si="29"/>
        <v>0.12742176045431064</v>
      </c>
      <c r="S58" s="34"/>
      <c r="T58" s="35" t="s">
        <v>230</v>
      </c>
      <c r="U58" s="30" t="s">
        <v>17</v>
      </c>
      <c r="V58" s="16">
        <f t="shared" si="34"/>
        <v>36486.81</v>
      </c>
      <c r="W58" s="218">
        <f t="shared" si="37"/>
        <v>0.00030849324670397205</v>
      </c>
      <c r="X58" s="16">
        <v>0</v>
      </c>
      <c r="Y58" s="178">
        <f t="shared" si="30"/>
        <v>-36486.81</v>
      </c>
      <c r="Z58" s="37"/>
      <c r="AA58" s="22"/>
      <c r="AB58" s="35" t="s">
        <v>230</v>
      </c>
      <c r="AC58" s="30" t="s">
        <v>17</v>
      </c>
      <c r="AD58" s="128">
        <f t="shared" si="35"/>
        <v>1690184.0500000003</v>
      </c>
      <c r="AE58" s="128">
        <v>1937000</v>
      </c>
      <c r="AF58" s="209"/>
      <c r="AG58" s="128">
        <f t="shared" si="36"/>
        <v>1937000</v>
      </c>
      <c r="AH58" s="128">
        <f t="shared" si="38"/>
        <v>0</v>
      </c>
      <c r="AI58" s="128">
        <v>1937000</v>
      </c>
      <c r="AJ58" s="128">
        <f t="shared" si="39"/>
        <v>246815.94999999972</v>
      </c>
      <c r="AK58" s="164">
        <f t="shared" si="40"/>
        <v>0.12742176045431064</v>
      </c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2"/>
      <c r="BX58" s="22"/>
      <c r="BY58" s="22"/>
      <c r="BZ58" s="22"/>
      <c r="CA58" s="22"/>
      <c r="CB58" s="22"/>
      <c r="CC58" s="22"/>
      <c r="CD58" s="22"/>
      <c r="CE58" s="22"/>
      <c r="CF58" s="22"/>
      <c r="CG58" s="22"/>
      <c r="CH58" s="22"/>
      <c r="CI58" s="22"/>
      <c r="CJ58" s="22"/>
      <c r="CK58" s="22"/>
      <c r="CL58" s="22"/>
      <c r="CM58" s="22"/>
      <c r="CN58" s="22"/>
      <c r="CO58" s="22"/>
      <c r="CP58" s="22"/>
      <c r="CQ58" s="22"/>
      <c r="CR58" s="22"/>
      <c r="CS58" s="22"/>
      <c r="CT58" s="22"/>
      <c r="CU58" s="22"/>
      <c r="CV58" s="22"/>
      <c r="CW58" s="22"/>
      <c r="CX58" s="22"/>
      <c r="CY58" s="22"/>
      <c r="CZ58" s="22"/>
      <c r="DA58" s="22"/>
      <c r="DB58" s="22"/>
      <c r="DC58" s="22"/>
      <c r="DD58" s="22"/>
      <c r="DE58" s="22"/>
      <c r="DF58" s="22"/>
      <c r="DG58" s="22"/>
      <c r="DH58" s="22"/>
      <c r="DI58" s="22"/>
      <c r="DJ58" s="22"/>
      <c r="DK58" s="22"/>
      <c r="DL58" s="22"/>
      <c r="DM58" s="22"/>
      <c r="DN58" s="22"/>
      <c r="DO58" s="22"/>
      <c r="DP58" s="22"/>
      <c r="DQ58" s="22"/>
      <c r="DR58" s="22"/>
      <c r="DS58" s="22"/>
      <c r="DT58" s="22"/>
      <c r="DU58" s="22"/>
      <c r="DV58" s="22"/>
      <c r="DW58" s="22"/>
      <c r="DX58" s="22"/>
      <c r="DY58" s="22"/>
      <c r="DZ58" s="22"/>
      <c r="EA58" s="22"/>
      <c r="EB58" s="22"/>
      <c r="EC58" s="22"/>
      <c r="ED58" s="22"/>
      <c r="EE58" s="22"/>
      <c r="EF58" s="22"/>
      <c r="EG58" s="22"/>
      <c r="EH58" s="22"/>
      <c r="EI58" s="22"/>
      <c r="EJ58" s="22"/>
      <c r="EK58" s="22"/>
      <c r="EL58" s="22"/>
      <c r="EM58" s="22"/>
    </row>
    <row r="59" spans="1:37" s="26" customFormat="1" ht="18">
      <c r="A59" s="306" t="s">
        <v>231</v>
      </c>
      <c r="B59" s="307" t="s">
        <v>78</v>
      </c>
      <c r="C59" s="241"/>
      <c r="D59" s="241">
        <v>9903.53</v>
      </c>
      <c r="E59" s="241">
        <v>-16182.4</v>
      </c>
      <c r="F59" s="241">
        <v>49070.76</v>
      </c>
      <c r="G59" s="241"/>
      <c r="H59" s="241"/>
      <c r="I59" s="241"/>
      <c r="J59" s="241"/>
      <c r="K59" s="241"/>
      <c r="L59" s="241"/>
      <c r="M59" s="241"/>
      <c r="N59" s="241"/>
      <c r="O59" s="241">
        <f t="shared" si="27"/>
        <v>42791.89</v>
      </c>
      <c r="P59" s="241">
        <v>45000</v>
      </c>
      <c r="Q59" s="241">
        <f t="shared" si="28"/>
        <v>2208.1100000000006</v>
      </c>
      <c r="R59" s="308">
        <f t="shared" si="29"/>
        <v>0.049069111111111126</v>
      </c>
      <c r="S59" s="34"/>
      <c r="T59" s="306" t="s">
        <v>231</v>
      </c>
      <c r="U59" s="307" t="s">
        <v>78</v>
      </c>
      <c r="V59" s="241">
        <f t="shared" si="34"/>
        <v>49070.76</v>
      </c>
      <c r="W59" s="309">
        <f t="shared" si="37"/>
        <v>0.00041488960176653986</v>
      </c>
      <c r="X59" s="241">
        <v>11250</v>
      </c>
      <c r="Y59" s="326">
        <f t="shared" si="30"/>
        <v>-37820.76</v>
      </c>
      <c r="Z59" s="310">
        <f>+Y59/X59</f>
        <v>-3.3618453333333336</v>
      </c>
      <c r="AB59" s="306" t="s">
        <v>231</v>
      </c>
      <c r="AC59" s="307" t="s">
        <v>78</v>
      </c>
      <c r="AD59" s="311">
        <f t="shared" si="35"/>
        <v>42791.89</v>
      </c>
      <c r="AE59" s="311">
        <v>135000</v>
      </c>
      <c r="AF59" s="312"/>
      <c r="AG59" s="311">
        <f t="shared" si="36"/>
        <v>135000</v>
      </c>
      <c r="AH59" s="311">
        <f t="shared" si="38"/>
        <v>0</v>
      </c>
      <c r="AI59" s="311">
        <v>135000</v>
      </c>
      <c r="AJ59" s="311">
        <f t="shared" si="39"/>
        <v>92208.11</v>
      </c>
      <c r="AK59" s="313">
        <f t="shared" si="40"/>
        <v>0.683023037037037</v>
      </c>
    </row>
    <row r="60" spans="1:37" ht="18">
      <c r="A60" s="35" t="s">
        <v>232</v>
      </c>
      <c r="B60" s="30" t="s">
        <v>18</v>
      </c>
      <c r="C60" s="16">
        <v>1160</v>
      </c>
      <c r="D60" s="16">
        <v>0</v>
      </c>
      <c r="E60" s="16">
        <v>11716.76</v>
      </c>
      <c r="F60" s="16">
        <v>7827.06</v>
      </c>
      <c r="G60" s="16"/>
      <c r="H60" s="16"/>
      <c r="I60" s="16"/>
      <c r="J60" s="16"/>
      <c r="K60" s="16"/>
      <c r="L60" s="16"/>
      <c r="M60" s="16"/>
      <c r="N60" s="16"/>
      <c r="O60" s="16">
        <f t="shared" si="27"/>
        <v>20703.82</v>
      </c>
      <c r="P60" s="16">
        <v>150000</v>
      </c>
      <c r="Q60" s="16">
        <f t="shared" si="28"/>
        <v>129296.18</v>
      </c>
      <c r="R60" s="150">
        <f t="shared" si="29"/>
        <v>0.8619745333333333</v>
      </c>
      <c r="S60" s="34"/>
      <c r="T60" s="35" t="s">
        <v>232</v>
      </c>
      <c r="U60" s="30" t="s">
        <v>18</v>
      </c>
      <c r="V60" s="16">
        <f t="shared" si="34"/>
        <v>7827.06</v>
      </c>
      <c r="W60" s="218">
        <f aca="true" t="shared" si="41" ref="W60:W71">+V60/$V$87</f>
        <v>6.61772062711646E-05</v>
      </c>
      <c r="X60" s="16">
        <v>0</v>
      </c>
      <c r="Y60" s="178">
        <f t="shared" si="30"/>
        <v>-7827.06</v>
      </c>
      <c r="Z60" s="37"/>
      <c r="AB60" s="35" t="s">
        <v>232</v>
      </c>
      <c r="AC60" s="30" t="s">
        <v>18</v>
      </c>
      <c r="AD60" s="128">
        <f t="shared" si="35"/>
        <v>20703.82</v>
      </c>
      <c r="AE60" s="128">
        <v>7500000</v>
      </c>
      <c r="AF60" s="209"/>
      <c r="AG60" s="128">
        <f t="shared" si="36"/>
        <v>7500000</v>
      </c>
      <c r="AH60" s="128">
        <f t="shared" si="38"/>
        <v>0</v>
      </c>
      <c r="AI60" s="128">
        <v>7500000</v>
      </c>
      <c r="AJ60" s="128">
        <f t="shared" si="39"/>
        <v>7479296.18</v>
      </c>
      <c r="AK60" s="164">
        <f t="shared" si="40"/>
        <v>0.9972394906666666</v>
      </c>
    </row>
    <row r="61" spans="1:37" s="26" customFormat="1" ht="18">
      <c r="A61" s="306">
        <v>3501</v>
      </c>
      <c r="B61" s="307" t="s">
        <v>203</v>
      </c>
      <c r="C61" s="241">
        <v>7273.2</v>
      </c>
      <c r="D61" s="241">
        <v>11459.5</v>
      </c>
      <c r="E61" s="241">
        <v>2830.5</v>
      </c>
      <c r="F61" s="241">
        <v>30441.91</v>
      </c>
      <c r="G61" s="241"/>
      <c r="H61" s="241"/>
      <c r="I61" s="241"/>
      <c r="J61" s="241"/>
      <c r="K61" s="241"/>
      <c r="L61" s="241"/>
      <c r="M61" s="241"/>
      <c r="N61" s="241"/>
      <c r="O61" s="241">
        <f t="shared" si="27"/>
        <v>52005.11</v>
      </c>
      <c r="P61" s="241">
        <v>33332</v>
      </c>
      <c r="Q61" s="241">
        <f t="shared" si="28"/>
        <v>-18673.11</v>
      </c>
      <c r="R61" s="308">
        <f t="shared" si="29"/>
        <v>-0.5602157086283451</v>
      </c>
      <c r="S61" s="34"/>
      <c r="T61" s="306">
        <v>3501</v>
      </c>
      <c r="U61" s="307" t="s">
        <v>203</v>
      </c>
      <c r="V61" s="241">
        <f t="shared" si="34"/>
        <v>30441.91</v>
      </c>
      <c r="W61" s="309">
        <f t="shared" si="41"/>
        <v>0.0002573840697986509</v>
      </c>
      <c r="X61" s="241">
        <v>8333</v>
      </c>
      <c r="Y61" s="326">
        <f t="shared" si="30"/>
        <v>-22108.91</v>
      </c>
      <c r="Z61" s="310">
        <f aca="true" t="shared" si="42" ref="Z61:Z71">+Y61/X61</f>
        <v>-2.6531753270130807</v>
      </c>
      <c r="AB61" s="306">
        <v>3501</v>
      </c>
      <c r="AC61" s="307" t="s">
        <v>203</v>
      </c>
      <c r="AD61" s="311">
        <f t="shared" si="35"/>
        <v>52005.11</v>
      </c>
      <c r="AE61" s="311">
        <v>128566</v>
      </c>
      <c r="AF61" s="312"/>
      <c r="AG61" s="311">
        <f t="shared" si="36"/>
        <v>128566</v>
      </c>
      <c r="AH61" s="311">
        <f t="shared" si="38"/>
        <v>0</v>
      </c>
      <c r="AI61" s="311">
        <v>128566</v>
      </c>
      <c r="AJ61" s="311">
        <f t="shared" si="39"/>
        <v>76560.89</v>
      </c>
      <c r="AK61" s="313">
        <f t="shared" si="40"/>
        <v>0.5954987321686915</v>
      </c>
    </row>
    <row r="62" spans="1:37" ht="18">
      <c r="A62" s="35">
        <v>3502</v>
      </c>
      <c r="B62" s="30" t="s">
        <v>204</v>
      </c>
      <c r="C62" s="16"/>
      <c r="D62" s="16">
        <v>6807.9</v>
      </c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>
        <f t="shared" si="27"/>
        <v>6807.9</v>
      </c>
      <c r="P62" s="16">
        <v>116668</v>
      </c>
      <c r="Q62" s="16">
        <f t="shared" si="28"/>
        <v>109860.1</v>
      </c>
      <c r="R62" s="150">
        <f t="shared" si="29"/>
        <v>0.9416472383172764</v>
      </c>
      <c r="S62" s="34"/>
      <c r="T62" s="35">
        <v>3502</v>
      </c>
      <c r="U62" s="30" t="s">
        <v>204</v>
      </c>
      <c r="V62" s="16">
        <f t="shared" si="34"/>
        <v>0</v>
      </c>
      <c r="W62" s="218">
        <f t="shared" si="41"/>
        <v>0</v>
      </c>
      <c r="X62" s="16">
        <v>29167</v>
      </c>
      <c r="Y62" s="178">
        <f t="shared" si="30"/>
        <v>29167</v>
      </c>
      <c r="Z62" s="37">
        <f t="shared" si="42"/>
        <v>1</v>
      </c>
      <c r="AB62" s="35">
        <v>3502</v>
      </c>
      <c r="AC62" s="30" t="s">
        <v>204</v>
      </c>
      <c r="AD62" s="128">
        <f t="shared" si="35"/>
        <v>6807.9</v>
      </c>
      <c r="AE62" s="128">
        <v>350000</v>
      </c>
      <c r="AF62" s="209"/>
      <c r="AG62" s="128">
        <f t="shared" si="36"/>
        <v>350000</v>
      </c>
      <c r="AH62" s="128">
        <f t="shared" si="38"/>
        <v>0</v>
      </c>
      <c r="AI62" s="128">
        <v>350000</v>
      </c>
      <c r="AJ62" s="128">
        <f t="shared" si="39"/>
        <v>343192.1</v>
      </c>
      <c r="AK62" s="164">
        <f t="shared" si="40"/>
        <v>0.9805488571428571</v>
      </c>
    </row>
    <row r="63" spans="1:37" s="26" customFormat="1" ht="18">
      <c r="A63" s="306">
        <v>3503</v>
      </c>
      <c r="B63" s="307" t="s">
        <v>205</v>
      </c>
      <c r="C63" s="241">
        <v>157819.45</v>
      </c>
      <c r="D63" s="241">
        <v>31495.15</v>
      </c>
      <c r="E63" s="241">
        <v>112903.88</v>
      </c>
      <c r="F63" s="241">
        <v>129821.65</v>
      </c>
      <c r="G63" s="241"/>
      <c r="H63" s="241"/>
      <c r="I63" s="241"/>
      <c r="J63" s="241"/>
      <c r="K63" s="241"/>
      <c r="L63" s="241"/>
      <c r="M63" s="241"/>
      <c r="N63" s="241"/>
      <c r="O63" s="241">
        <f t="shared" si="27"/>
        <v>432040.13</v>
      </c>
      <c r="P63" s="241">
        <v>3004062</v>
      </c>
      <c r="Q63" s="241">
        <f t="shared" si="28"/>
        <v>2572021.87</v>
      </c>
      <c r="R63" s="308">
        <f t="shared" si="29"/>
        <v>0.8561813537803148</v>
      </c>
      <c r="S63" s="34"/>
      <c r="T63" s="306">
        <v>3503</v>
      </c>
      <c r="U63" s="307" t="s">
        <v>205</v>
      </c>
      <c r="V63" s="241">
        <f t="shared" si="34"/>
        <v>129821.65</v>
      </c>
      <c r="W63" s="309">
        <f t="shared" si="41"/>
        <v>0.001097632330723533</v>
      </c>
      <c r="X63" s="241">
        <v>1334599</v>
      </c>
      <c r="Y63" s="241">
        <f t="shared" si="30"/>
        <v>1204777.35</v>
      </c>
      <c r="Z63" s="310">
        <f t="shared" si="42"/>
        <v>0.9027260997498125</v>
      </c>
      <c r="AB63" s="306">
        <v>3503</v>
      </c>
      <c r="AC63" s="307" t="s">
        <v>205</v>
      </c>
      <c r="AD63" s="311">
        <f t="shared" si="35"/>
        <v>432040.13</v>
      </c>
      <c r="AE63" s="311">
        <v>4481682</v>
      </c>
      <c r="AF63" s="312"/>
      <c r="AG63" s="311">
        <f t="shared" si="36"/>
        <v>4481682</v>
      </c>
      <c r="AH63" s="311">
        <f t="shared" si="38"/>
        <v>0</v>
      </c>
      <c r="AI63" s="311">
        <v>4481682</v>
      </c>
      <c r="AJ63" s="311">
        <f t="shared" si="39"/>
        <v>4049641.87</v>
      </c>
      <c r="AK63" s="313">
        <f t="shared" si="40"/>
        <v>0.9035986645192586</v>
      </c>
    </row>
    <row r="64" spans="1:37" ht="18" customHeight="1">
      <c r="A64" s="35">
        <v>3504</v>
      </c>
      <c r="B64" s="30" t="s">
        <v>206</v>
      </c>
      <c r="C64" s="16">
        <v>686579.4</v>
      </c>
      <c r="D64" s="16">
        <v>43795.62</v>
      </c>
      <c r="E64" s="16">
        <v>68532.2</v>
      </c>
      <c r="F64" s="16">
        <v>769521.76</v>
      </c>
      <c r="G64" s="16"/>
      <c r="H64" s="16"/>
      <c r="I64" s="16"/>
      <c r="J64" s="16"/>
      <c r="K64" s="16"/>
      <c r="L64" s="16"/>
      <c r="M64" s="16"/>
      <c r="N64" s="16"/>
      <c r="O64" s="16">
        <f t="shared" si="27"/>
        <v>1568428.98</v>
      </c>
      <c r="P64" s="16">
        <v>1141664</v>
      </c>
      <c r="Q64" s="16">
        <f t="shared" si="28"/>
        <v>-426764.98</v>
      </c>
      <c r="R64" s="150">
        <f t="shared" si="29"/>
        <v>-0.37380961473778623</v>
      </c>
      <c r="S64" s="34"/>
      <c r="T64" s="35">
        <v>3504</v>
      </c>
      <c r="U64" s="30" t="s">
        <v>206</v>
      </c>
      <c r="V64" s="16">
        <f t="shared" si="34"/>
        <v>769521.76</v>
      </c>
      <c r="W64" s="218">
        <f t="shared" si="41"/>
        <v>0.006506248865048898</v>
      </c>
      <c r="X64" s="16">
        <v>749166</v>
      </c>
      <c r="Y64" s="178">
        <f t="shared" si="30"/>
        <v>-20355.76000000001</v>
      </c>
      <c r="Z64" s="37">
        <f t="shared" si="42"/>
        <v>-0.027171227738578645</v>
      </c>
      <c r="AB64" s="35">
        <v>3504</v>
      </c>
      <c r="AC64" s="30" t="s">
        <v>206</v>
      </c>
      <c r="AD64" s="128">
        <f t="shared" si="35"/>
        <v>1568428.98</v>
      </c>
      <c r="AE64" s="128">
        <v>1435004</v>
      </c>
      <c r="AF64" s="209"/>
      <c r="AG64" s="128">
        <f t="shared" si="36"/>
        <v>1435004</v>
      </c>
      <c r="AH64" s="128">
        <f t="shared" si="38"/>
        <v>0</v>
      </c>
      <c r="AI64" s="128">
        <v>1435004</v>
      </c>
      <c r="AJ64" s="128">
        <f t="shared" si="39"/>
        <v>-133424.97999999998</v>
      </c>
      <c r="AK64" s="164">
        <f t="shared" si="40"/>
        <v>-0.09297882096495896</v>
      </c>
    </row>
    <row r="65" spans="1:37" s="26" customFormat="1" ht="18">
      <c r="A65" s="306" t="s">
        <v>213</v>
      </c>
      <c r="B65" s="307" t="s">
        <v>80</v>
      </c>
      <c r="C65" s="241">
        <v>4476.05</v>
      </c>
      <c r="D65" s="241">
        <v>13763.79</v>
      </c>
      <c r="E65" s="241">
        <v>15552.8</v>
      </c>
      <c r="F65" s="241">
        <v>31540.28</v>
      </c>
      <c r="G65" s="241"/>
      <c r="H65" s="241"/>
      <c r="I65" s="241"/>
      <c r="J65" s="241"/>
      <c r="K65" s="241"/>
      <c r="L65" s="241"/>
      <c r="M65" s="241"/>
      <c r="N65" s="241"/>
      <c r="O65" s="241">
        <f>+D65+C65+E65+F65+G65+H65+I65+J65+K65+L65+M65+N65</f>
        <v>65332.92</v>
      </c>
      <c r="P65" s="241">
        <v>25000</v>
      </c>
      <c r="Q65" s="241">
        <f>+P65-O65</f>
        <v>-40332.92</v>
      </c>
      <c r="R65" s="308">
        <f>+Q65/P65</f>
        <v>-1.6133168</v>
      </c>
      <c r="S65" s="34"/>
      <c r="T65" s="306" t="s">
        <v>213</v>
      </c>
      <c r="U65" s="307" t="s">
        <v>80</v>
      </c>
      <c r="V65" s="241">
        <f t="shared" si="34"/>
        <v>31540.28</v>
      </c>
      <c r="W65" s="309">
        <f>+V65/$V$87</f>
        <v>0.000266670705911324</v>
      </c>
      <c r="X65" s="241">
        <v>6250</v>
      </c>
      <c r="Y65" s="326">
        <f>+X65-V65</f>
        <v>-25290.28</v>
      </c>
      <c r="Z65" s="310">
        <f t="shared" si="42"/>
        <v>-4.0464448</v>
      </c>
      <c r="AB65" s="306" t="s">
        <v>213</v>
      </c>
      <c r="AC65" s="307" t="s">
        <v>80</v>
      </c>
      <c r="AD65" s="311">
        <f t="shared" si="35"/>
        <v>65332.92</v>
      </c>
      <c r="AE65" s="311">
        <v>75000</v>
      </c>
      <c r="AF65" s="312"/>
      <c r="AG65" s="311">
        <f t="shared" si="36"/>
        <v>75000</v>
      </c>
      <c r="AH65" s="311">
        <f t="shared" si="38"/>
        <v>0</v>
      </c>
      <c r="AI65" s="311">
        <v>75000</v>
      </c>
      <c r="AJ65" s="311">
        <f t="shared" si="39"/>
        <v>9667.080000000002</v>
      </c>
      <c r="AK65" s="313">
        <f t="shared" si="40"/>
        <v>0.12889440000000002</v>
      </c>
    </row>
    <row r="66" spans="1:37" ht="18" customHeight="1">
      <c r="A66" s="35">
        <v>3601</v>
      </c>
      <c r="B66" s="30" t="s">
        <v>81</v>
      </c>
      <c r="C66" s="16">
        <v>567557.99</v>
      </c>
      <c r="D66" s="16">
        <v>1154383.6</v>
      </c>
      <c r="E66" s="16">
        <v>1641226.38</v>
      </c>
      <c r="F66" s="16">
        <v>2021720.81</v>
      </c>
      <c r="G66" s="16"/>
      <c r="H66" s="16"/>
      <c r="I66" s="16"/>
      <c r="J66" s="16"/>
      <c r="K66" s="16"/>
      <c r="L66" s="16"/>
      <c r="M66" s="16"/>
      <c r="N66" s="16"/>
      <c r="O66" s="16">
        <f t="shared" si="27"/>
        <v>5384888.779999999</v>
      </c>
      <c r="P66" s="16">
        <v>7672044</v>
      </c>
      <c r="Q66" s="16">
        <f t="shared" si="28"/>
        <v>2287155.2200000007</v>
      </c>
      <c r="R66" s="150">
        <f t="shared" si="29"/>
        <v>0.29811549829484824</v>
      </c>
      <c r="S66" s="34"/>
      <c r="T66" s="35">
        <v>3601</v>
      </c>
      <c r="U66" s="30" t="s">
        <v>81</v>
      </c>
      <c r="V66" s="16">
        <f t="shared" si="34"/>
        <v>2021720.81</v>
      </c>
      <c r="W66" s="218">
        <f t="shared" si="41"/>
        <v>0.017093498077959794</v>
      </c>
      <c r="X66" s="16">
        <v>3763636</v>
      </c>
      <c r="Y66" s="178">
        <f t="shared" si="30"/>
        <v>1741915.19</v>
      </c>
      <c r="Z66" s="37">
        <f t="shared" si="42"/>
        <v>0.4628277522055799</v>
      </c>
      <c r="AB66" s="35">
        <v>3601</v>
      </c>
      <c r="AC66" s="30" t="s">
        <v>81</v>
      </c>
      <c r="AD66" s="128">
        <f t="shared" si="35"/>
        <v>5384888.779999999</v>
      </c>
      <c r="AE66" s="128">
        <v>29588974</v>
      </c>
      <c r="AF66" s="209">
        <v>-9700506</v>
      </c>
      <c r="AG66" s="128">
        <f t="shared" si="36"/>
        <v>19888468</v>
      </c>
      <c r="AH66" s="209">
        <f t="shared" si="38"/>
        <v>-7517798</v>
      </c>
      <c r="AI66" s="128">
        <v>12370670</v>
      </c>
      <c r="AJ66" s="128">
        <f t="shared" si="39"/>
        <v>6985781.220000001</v>
      </c>
      <c r="AK66" s="164">
        <f t="shared" si="40"/>
        <v>0.5647051630994926</v>
      </c>
    </row>
    <row r="67" spans="1:37" s="26" customFormat="1" ht="18">
      <c r="A67" s="306">
        <v>3602</v>
      </c>
      <c r="B67" s="307" t="s">
        <v>82</v>
      </c>
      <c r="C67" s="241">
        <v>19174.8</v>
      </c>
      <c r="D67" s="241">
        <v>13111.48</v>
      </c>
      <c r="E67" s="241">
        <v>32025.28</v>
      </c>
      <c r="F67" s="241">
        <v>11098047.08</v>
      </c>
      <c r="G67" s="241"/>
      <c r="H67" s="241"/>
      <c r="I67" s="241"/>
      <c r="J67" s="241"/>
      <c r="K67" s="241"/>
      <c r="L67" s="241"/>
      <c r="M67" s="241"/>
      <c r="N67" s="241"/>
      <c r="O67" s="241">
        <f t="shared" si="27"/>
        <v>11162358.64</v>
      </c>
      <c r="P67" s="241">
        <v>15615134</v>
      </c>
      <c r="Q67" s="241">
        <f t="shared" si="28"/>
        <v>4452775.359999999</v>
      </c>
      <c r="R67" s="308">
        <f t="shared" si="29"/>
        <v>0.2851576784419525</v>
      </c>
      <c r="S67" s="34"/>
      <c r="T67" s="306">
        <v>3602</v>
      </c>
      <c r="U67" s="307" t="s">
        <v>82</v>
      </c>
      <c r="V67" s="241">
        <f t="shared" si="34"/>
        <v>11098047.08</v>
      </c>
      <c r="W67" s="309">
        <f t="shared" si="41"/>
        <v>0.09383315712671886</v>
      </c>
      <c r="X67" s="241">
        <v>8333</v>
      </c>
      <c r="Y67" s="326">
        <f t="shared" si="30"/>
        <v>-11089714.08</v>
      </c>
      <c r="Z67" s="310">
        <f t="shared" si="42"/>
        <v>-1330.8189223568943</v>
      </c>
      <c r="AB67" s="306">
        <v>3602</v>
      </c>
      <c r="AC67" s="307" t="s">
        <v>82</v>
      </c>
      <c r="AD67" s="311">
        <f t="shared" si="35"/>
        <v>11162358.64</v>
      </c>
      <c r="AE67" s="311">
        <v>3550000</v>
      </c>
      <c r="AF67" s="312">
        <v>25163604</v>
      </c>
      <c r="AG67" s="311">
        <f t="shared" si="36"/>
        <v>28713604</v>
      </c>
      <c r="AH67" s="311">
        <f t="shared" si="38"/>
        <v>0</v>
      </c>
      <c r="AI67" s="311">
        <v>28713604</v>
      </c>
      <c r="AJ67" s="311">
        <f t="shared" si="39"/>
        <v>17551245.36</v>
      </c>
      <c r="AK67" s="313">
        <f t="shared" si="40"/>
        <v>0.611251912508092</v>
      </c>
    </row>
    <row r="68" spans="1:37" ht="18" customHeight="1">
      <c r="A68" s="35">
        <v>3604</v>
      </c>
      <c r="B68" s="30" t="s">
        <v>19</v>
      </c>
      <c r="C68" s="16">
        <v>234595.77</v>
      </c>
      <c r="D68" s="16">
        <v>127639.18</v>
      </c>
      <c r="E68" s="16">
        <v>249787.02</v>
      </c>
      <c r="F68" s="16">
        <v>505138.41</v>
      </c>
      <c r="G68" s="16"/>
      <c r="H68" s="16"/>
      <c r="I68" s="16"/>
      <c r="J68" s="16"/>
      <c r="K68" s="16"/>
      <c r="L68" s="16"/>
      <c r="M68" s="16"/>
      <c r="N68" s="16"/>
      <c r="O68" s="16">
        <f t="shared" si="27"/>
        <v>1117160.38</v>
      </c>
      <c r="P68" s="16">
        <v>1166668</v>
      </c>
      <c r="Q68" s="16">
        <f t="shared" si="28"/>
        <v>49507.62000000011</v>
      </c>
      <c r="R68" s="150">
        <f t="shared" si="29"/>
        <v>0.04243505435993797</v>
      </c>
      <c r="S68" s="34"/>
      <c r="T68" s="35">
        <v>3604</v>
      </c>
      <c r="U68" s="30" t="s">
        <v>19</v>
      </c>
      <c r="V68" s="16">
        <f t="shared" si="34"/>
        <v>505138.41</v>
      </c>
      <c r="W68" s="218">
        <f t="shared" si="41"/>
        <v>0.004270907435749581</v>
      </c>
      <c r="X68" s="16">
        <v>141667</v>
      </c>
      <c r="Y68" s="178">
        <f t="shared" si="30"/>
        <v>-363471.41</v>
      </c>
      <c r="Z68" s="37">
        <f t="shared" si="42"/>
        <v>-2.5656745042952838</v>
      </c>
      <c r="AB68" s="35">
        <v>3604</v>
      </c>
      <c r="AC68" s="30" t="s">
        <v>19</v>
      </c>
      <c r="AD68" s="128">
        <f t="shared" si="35"/>
        <v>1117160.38</v>
      </c>
      <c r="AE68" s="128">
        <v>2300000</v>
      </c>
      <c r="AF68" s="209"/>
      <c r="AG68" s="128">
        <f t="shared" si="36"/>
        <v>2300000</v>
      </c>
      <c r="AH68" s="128">
        <f t="shared" si="38"/>
        <v>0</v>
      </c>
      <c r="AI68" s="128">
        <v>2300000</v>
      </c>
      <c r="AJ68" s="128">
        <f t="shared" si="39"/>
        <v>1182839.62</v>
      </c>
      <c r="AK68" s="164">
        <f t="shared" si="40"/>
        <v>0.514278095652174</v>
      </c>
    </row>
    <row r="69" spans="1:37" s="26" customFormat="1" ht="18">
      <c r="A69" s="306">
        <v>3701</v>
      </c>
      <c r="B69" s="307" t="s">
        <v>20</v>
      </c>
      <c r="C69" s="241">
        <v>33831</v>
      </c>
      <c r="D69" s="241">
        <v>40593</v>
      </c>
      <c r="E69" s="241">
        <v>78939.56</v>
      </c>
      <c r="F69" s="241">
        <v>61376.79</v>
      </c>
      <c r="G69" s="241"/>
      <c r="H69" s="241"/>
      <c r="I69" s="241"/>
      <c r="J69" s="241"/>
      <c r="K69" s="241"/>
      <c r="L69" s="241"/>
      <c r="M69" s="241"/>
      <c r="N69" s="241"/>
      <c r="O69" s="241">
        <f t="shared" si="27"/>
        <v>214740.35</v>
      </c>
      <c r="P69" s="241">
        <v>442467</v>
      </c>
      <c r="Q69" s="241">
        <f t="shared" si="28"/>
        <v>227726.65</v>
      </c>
      <c r="R69" s="308">
        <f t="shared" si="29"/>
        <v>0.5146748797085432</v>
      </c>
      <c r="S69" s="34"/>
      <c r="T69" s="306">
        <v>3701</v>
      </c>
      <c r="U69" s="307" t="s">
        <v>20</v>
      </c>
      <c r="V69" s="241">
        <f t="shared" si="34"/>
        <v>61376.79</v>
      </c>
      <c r="W69" s="309">
        <f t="shared" si="41"/>
        <v>0.0005189361640375765</v>
      </c>
      <c r="X69" s="241">
        <v>113274</v>
      </c>
      <c r="Y69" s="241">
        <f t="shared" si="30"/>
        <v>51897.21</v>
      </c>
      <c r="Z69" s="310">
        <f t="shared" si="42"/>
        <v>0.4581564171831135</v>
      </c>
      <c r="AB69" s="306">
        <v>3701</v>
      </c>
      <c r="AC69" s="307" t="s">
        <v>20</v>
      </c>
      <c r="AD69" s="311">
        <f t="shared" si="35"/>
        <v>214740.35</v>
      </c>
      <c r="AE69" s="311">
        <v>1376561</v>
      </c>
      <c r="AF69" s="312">
        <v>-14200</v>
      </c>
      <c r="AG69" s="311">
        <f t="shared" si="36"/>
        <v>1362361</v>
      </c>
      <c r="AH69" s="311">
        <f t="shared" si="38"/>
        <v>0</v>
      </c>
      <c r="AI69" s="311">
        <v>1362361</v>
      </c>
      <c r="AJ69" s="311">
        <f t="shared" si="39"/>
        <v>1147620.65</v>
      </c>
      <c r="AK69" s="313">
        <f t="shared" si="40"/>
        <v>0.8423763231625098</v>
      </c>
    </row>
    <row r="70" spans="1:37" ht="18" customHeight="1">
      <c r="A70" s="35">
        <v>3702</v>
      </c>
      <c r="B70" s="30" t="s">
        <v>21</v>
      </c>
      <c r="C70" s="16">
        <v>53892.46</v>
      </c>
      <c r="D70" s="16">
        <v>59977.08</v>
      </c>
      <c r="E70" s="16">
        <v>211521.2</v>
      </c>
      <c r="F70" s="16">
        <v>136195.18</v>
      </c>
      <c r="G70" s="16"/>
      <c r="H70" s="16"/>
      <c r="I70" s="16"/>
      <c r="J70" s="16"/>
      <c r="K70" s="16"/>
      <c r="L70" s="16"/>
      <c r="M70" s="16"/>
      <c r="N70" s="16"/>
      <c r="O70" s="16">
        <f t="shared" si="27"/>
        <v>461585.92</v>
      </c>
      <c r="P70" s="16">
        <v>982570</v>
      </c>
      <c r="Q70" s="16">
        <f t="shared" si="28"/>
        <v>520984.08</v>
      </c>
      <c r="R70" s="150">
        <f t="shared" si="29"/>
        <v>0.5302259177463183</v>
      </c>
      <c r="S70" s="34"/>
      <c r="T70" s="35">
        <v>3702</v>
      </c>
      <c r="U70" s="30" t="s">
        <v>21</v>
      </c>
      <c r="V70" s="16">
        <f t="shared" si="34"/>
        <v>136195.18</v>
      </c>
      <c r="W70" s="218">
        <f t="shared" si="41"/>
        <v>0.0011515200496736184</v>
      </c>
      <c r="X70" s="16">
        <v>232391</v>
      </c>
      <c r="Y70" s="178">
        <f t="shared" si="30"/>
        <v>96195.82</v>
      </c>
      <c r="Z70" s="37">
        <f t="shared" si="42"/>
        <v>0.4139395243361404</v>
      </c>
      <c r="AB70" s="35">
        <v>3702</v>
      </c>
      <c r="AC70" s="30" t="s">
        <v>21</v>
      </c>
      <c r="AD70" s="128">
        <f t="shared" si="35"/>
        <v>461585.92</v>
      </c>
      <c r="AE70" s="128">
        <v>4008872</v>
      </c>
      <c r="AF70" s="209">
        <v>-827099</v>
      </c>
      <c r="AG70" s="128">
        <f t="shared" si="36"/>
        <v>3181773</v>
      </c>
      <c r="AH70" s="128">
        <f t="shared" si="38"/>
        <v>0</v>
      </c>
      <c r="AI70" s="128">
        <v>3181773</v>
      </c>
      <c r="AJ70" s="128">
        <f t="shared" si="39"/>
        <v>2720187.08</v>
      </c>
      <c r="AK70" s="164">
        <f t="shared" si="40"/>
        <v>0.8549280794072991</v>
      </c>
    </row>
    <row r="71" spans="1:37" s="26" customFormat="1" ht="18">
      <c r="A71" s="306">
        <v>3802</v>
      </c>
      <c r="B71" s="307" t="s">
        <v>83</v>
      </c>
      <c r="C71" s="241"/>
      <c r="D71" s="241">
        <v>4987</v>
      </c>
      <c r="E71" s="241">
        <v>228440.38</v>
      </c>
      <c r="F71" s="241">
        <v>78304.49</v>
      </c>
      <c r="G71" s="241"/>
      <c r="H71" s="241"/>
      <c r="I71" s="241"/>
      <c r="J71" s="241"/>
      <c r="K71" s="241"/>
      <c r="L71" s="241"/>
      <c r="M71" s="241"/>
      <c r="N71" s="241"/>
      <c r="O71" s="241">
        <f t="shared" si="27"/>
        <v>311731.87</v>
      </c>
      <c r="P71" s="241">
        <v>615000</v>
      </c>
      <c r="Q71" s="241">
        <f t="shared" si="28"/>
        <v>303268.13</v>
      </c>
      <c r="R71" s="308">
        <f t="shared" si="29"/>
        <v>0.4931189105691057</v>
      </c>
      <c r="S71" s="34"/>
      <c r="T71" s="306">
        <v>3802</v>
      </c>
      <c r="U71" s="307" t="s">
        <v>83</v>
      </c>
      <c r="V71" s="241">
        <f t="shared" si="34"/>
        <v>78304.49</v>
      </c>
      <c r="W71" s="309">
        <f t="shared" si="41"/>
        <v>0.0006620586001242288</v>
      </c>
      <c r="X71" s="241">
        <v>114167</v>
      </c>
      <c r="Y71" s="241">
        <f t="shared" si="30"/>
        <v>35862.509999999995</v>
      </c>
      <c r="Z71" s="310">
        <f t="shared" si="42"/>
        <v>0.3141232580342831</v>
      </c>
      <c r="AB71" s="306">
        <v>3802</v>
      </c>
      <c r="AC71" s="307" t="s">
        <v>83</v>
      </c>
      <c r="AD71" s="311">
        <f t="shared" si="35"/>
        <v>311731.87</v>
      </c>
      <c r="AE71" s="311">
        <v>2544625</v>
      </c>
      <c r="AF71" s="312"/>
      <c r="AG71" s="311">
        <f t="shared" si="36"/>
        <v>2544625</v>
      </c>
      <c r="AH71" s="311">
        <f t="shared" si="38"/>
        <v>0</v>
      </c>
      <c r="AI71" s="311">
        <v>2544625</v>
      </c>
      <c r="AJ71" s="311">
        <f t="shared" si="39"/>
        <v>2232893.13</v>
      </c>
      <c r="AK71" s="313">
        <f t="shared" si="40"/>
        <v>0.8774939843788377</v>
      </c>
    </row>
    <row r="72" spans="1:37" ht="20.25" thickBot="1">
      <c r="A72" s="314">
        <v>3000</v>
      </c>
      <c r="B72" s="315" t="s">
        <v>22</v>
      </c>
      <c r="C72" s="316">
        <f>SUM(C44:C71)</f>
        <v>2978504</v>
      </c>
      <c r="D72" s="316">
        <f aca="true" t="shared" si="43" ref="D72:Q72">SUM(D44:D71)</f>
        <v>5127703.95</v>
      </c>
      <c r="E72" s="316">
        <f t="shared" si="43"/>
        <v>6569730.819999999</v>
      </c>
      <c r="F72" s="316">
        <f t="shared" si="43"/>
        <v>18206303.97</v>
      </c>
      <c r="G72" s="316">
        <f t="shared" si="43"/>
        <v>0</v>
      </c>
      <c r="H72" s="316">
        <f t="shared" si="43"/>
        <v>0</v>
      </c>
      <c r="I72" s="316">
        <f t="shared" si="43"/>
        <v>0</v>
      </c>
      <c r="J72" s="316">
        <f t="shared" si="43"/>
        <v>0</v>
      </c>
      <c r="K72" s="316">
        <f t="shared" si="43"/>
        <v>0</v>
      </c>
      <c r="L72" s="316">
        <f t="shared" si="43"/>
        <v>0</v>
      </c>
      <c r="M72" s="316">
        <f t="shared" si="43"/>
        <v>0</v>
      </c>
      <c r="N72" s="316">
        <f t="shared" si="43"/>
        <v>0</v>
      </c>
      <c r="O72" s="316">
        <f t="shared" si="43"/>
        <v>32882242.740000006</v>
      </c>
      <c r="P72" s="316">
        <v>49304658</v>
      </c>
      <c r="Q72" s="316">
        <f t="shared" si="43"/>
        <v>16422415.26</v>
      </c>
      <c r="R72" s="317">
        <f aca="true" t="shared" si="44" ref="R72:R81">Q72/P72</f>
        <v>0.3330804010444611</v>
      </c>
      <c r="S72" s="46"/>
      <c r="T72" s="314">
        <v>3000</v>
      </c>
      <c r="U72" s="315" t="s">
        <v>22</v>
      </c>
      <c r="V72" s="316">
        <f>SUM(V44:V71)</f>
        <v>18206303.97</v>
      </c>
      <c r="W72" s="318">
        <f>+V72/$V$87</f>
        <v>0.15393293692117002</v>
      </c>
      <c r="X72" s="316">
        <v>12323495</v>
      </c>
      <c r="Y72" s="325">
        <f>SUM(Y44:Y71)</f>
        <v>-5882808.970000001</v>
      </c>
      <c r="Z72" s="319">
        <f>+Y72/X72</f>
        <v>-0.4773653066763934</v>
      </c>
      <c r="AB72" s="314">
        <v>3000</v>
      </c>
      <c r="AC72" s="315" t="s">
        <v>22</v>
      </c>
      <c r="AD72" s="316">
        <f>SUM(AD44:AD71)</f>
        <v>32882242.740000006</v>
      </c>
      <c r="AE72" s="316">
        <f>SUM(AE44:AE71)</f>
        <v>89285338</v>
      </c>
      <c r="AF72" s="320">
        <f>SUM(AF44:AF71)</f>
        <v>30985299</v>
      </c>
      <c r="AG72" s="316">
        <f>SUM(AG44:AG71)-1</f>
        <v>120270636</v>
      </c>
      <c r="AH72" s="321">
        <f>SUM(AH44:AH71)</f>
        <v>-23676661</v>
      </c>
      <c r="AI72" s="316">
        <f>SUM(AI44:AI71)-1</f>
        <v>96593975</v>
      </c>
      <c r="AJ72" s="316">
        <f>SUM(AJ44:AJ71)-1</f>
        <v>63711732.25999999</v>
      </c>
      <c r="AK72" s="322">
        <f>AJ72/AI72</f>
        <v>0.6595828804022196</v>
      </c>
    </row>
    <row r="73" spans="1:37" ht="13.5" customHeight="1" hidden="1" thickTop="1">
      <c r="A73" s="131"/>
      <c r="B73" s="132"/>
      <c r="C73" s="137"/>
      <c r="D73" s="137"/>
      <c r="E73" s="137"/>
      <c r="F73" s="137"/>
      <c r="G73" s="137"/>
      <c r="H73" s="137"/>
      <c r="I73" s="137"/>
      <c r="J73" s="137"/>
      <c r="K73" s="137"/>
      <c r="L73" s="137"/>
      <c r="M73" s="137"/>
      <c r="N73" s="137"/>
      <c r="O73" s="137"/>
      <c r="P73" s="137"/>
      <c r="Q73" s="137"/>
      <c r="R73" s="152"/>
      <c r="S73" s="46"/>
      <c r="T73" s="131"/>
      <c r="U73" s="132"/>
      <c r="V73" s="133"/>
      <c r="W73" s="134"/>
      <c r="X73" s="133"/>
      <c r="Y73" s="135"/>
      <c r="Z73" s="136"/>
      <c r="AB73" s="131"/>
      <c r="AC73" s="132"/>
      <c r="AD73" s="137"/>
      <c r="AE73" s="137"/>
      <c r="AF73" s="137"/>
      <c r="AG73" s="137"/>
      <c r="AH73" s="137"/>
      <c r="AI73" s="137"/>
      <c r="AJ73" s="137"/>
      <c r="AK73" s="138"/>
    </row>
    <row r="74" spans="1:37" s="26" customFormat="1" ht="18.75" thickTop="1">
      <c r="A74" s="306">
        <v>5101</v>
      </c>
      <c r="B74" s="307" t="s">
        <v>101</v>
      </c>
      <c r="C74" s="241">
        <v>14999</v>
      </c>
      <c r="D74" s="241">
        <v>2308.4</v>
      </c>
      <c r="E74" s="241">
        <v>5220</v>
      </c>
      <c r="F74" s="241">
        <v>55607.62</v>
      </c>
      <c r="G74" s="241"/>
      <c r="H74" s="241"/>
      <c r="I74" s="241"/>
      <c r="J74" s="241"/>
      <c r="K74" s="241"/>
      <c r="L74" s="241"/>
      <c r="M74" s="241"/>
      <c r="N74" s="241"/>
      <c r="O74" s="241">
        <f>+D74+C74+E74+F74+G74+H74+I74+J74+K74+L74+M74+N74</f>
        <v>78135.02</v>
      </c>
      <c r="P74" s="241">
        <v>225000</v>
      </c>
      <c r="Q74" s="241">
        <f>+P74-O74</f>
        <v>146864.97999999998</v>
      </c>
      <c r="R74" s="308">
        <f t="shared" si="44"/>
        <v>0.6527332444444444</v>
      </c>
      <c r="S74" s="34"/>
      <c r="T74" s="306">
        <v>5101</v>
      </c>
      <c r="U74" s="307" t="s">
        <v>101</v>
      </c>
      <c r="V74" s="241">
        <f>F74</f>
        <v>55607.62</v>
      </c>
      <c r="W74" s="309">
        <f aca="true" t="shared" si="45" ref="W74:W81">+V74/$V$87</f>
        <v>0.0004701582636377565</v>
      </c>
      <c r="X74" s="241">
        <v>0</v>
      </c>
      <c r="Y74" s="326">
        <f>+X74-V74</f>
        <v>-55607.62</v>
      </c>
      <c r="Z74" s="310"/>
      <c r="AB74" s="306">
        <v>5101</v>
      </c>
      <c r="AC74" s="307" t="s">
        <v>101</v>
      </c>
      <c r="AD74" s="311">
        <f>+O74</f>
        <v>78135.02</v>
      </c>
      <c r="AE74" s="311">
        <v>225000</v>
      </c>
      <c r="AF74" s="312"/>
      <c r="AG74" s="311">
        <f aca="true" t="shared" si="46" ref="AG74:AG79">AE74+AF74</f>
        <v>225000</v>
      </c>
      <c r="AH74" s="311"/>
      <c r="AI74" s="311">
        <v>225000</v>
      </c>
      <c r="AJ74" s="311">
        <f aca="true" t="shared" si="47" ref="AJ74:AJ79">AI74-AD74</f>
        <v>146864.97999999998</v>
      </c>
      <c r="AK74" s="313">
        <f>+AJ74/AI74</f>
        <v>0.6527332444444444</v>
      </c>
    </row>
    <row r="75" spans="1:37" ht="18">
      <c r="A75" s="35">
        <v>5102</v>
      </c>
      <c r="B75" s="31" t="s">
        <v>130</v>
      </c>
      <c r="C75" s="5"/>
      <c r="D75" s="5"/>
      <c r="E75" s="5">
        <v>23549.21</v>
      </c>
      <c r="F75" s="5">
        <v>234422.08</v>
      </c>
      <c r="G75" s="5"/>
      <c r="H75" s="5"/>
      <c r="I75" s="5"/>
      <c r="J75" s="5"/>
      <c r="K75" s="5"/>
      <c r="L75" s="5"/>
      <c r="M75" s="5"/>
      <c r="N75" s="5"/>
      <c r="O75" s="5">
        <f>+D75+C75+E75+F75+G75+H75+I75+J75+K75+L75+M75+N75</f>
        <v>257971.28999999998</v>
      </c>
      <c r="P75" s="5">
        <v>485000</v>
      </c>
      <c r="Q75" s="5">
        <f>+P75-O75</f>
        <v>227028.71000000002</v>
      </c>
      <c r="R75" s="150">
        <f>Q75/P75</f>
        <v>0.4681004329896908</v>
      </c>
      <c r="S75" s="34"/>
      <c r="T75" s="35">
        <v>5102</v>
      </c>
      <c r="U75" s="31" t="s">
        <v>130</v>
      </c>
      <c r="V75" s="5">
        <f>F75</f>
        <v>234422.08</v>
      </c>
      <c r="W75" s="215">
        <f t="shared" si="45"/>
        <v>0.0019820211347141136</v>
      </c>
      <c r="X75" s="5">
        <v>0</v>
      </c>
      <c r="Y75" s="206">
        <f>+X75-V75</f>
        <v>-234422.08</v>
      </c>
      <c r="Z75" s="37"/>
      <c r="AB75" s="35">
        <v>5102</v>
      </c>
      <c r="AC75" s="31" t="s">
        <v>130</v>
      </c>
      <c r="AD75" s="127">
        <f>+O75</f>
        <v>257971.28999999998</v>
      </c>
      <c r="AE75" s="127">
        <v>508000</v>
      </c>
      <c r="AF75" s="127"/>
      <c r="AG75" s="127">
        <f t="shared" si="46"/>
        <v>508000</v>
      </c>
      <c r="AH75" s="127"/>
      <c r="AI75" s="127">
        <v>508000</v>
      </c>
      <c r="AJ75" s="127">
        <f t="shared" si="47"/>
        <v>250028.71000000002</v>
      </c>
      <c r="AK75" s="164">
        <f>+AJ75/AI75</f>
        <v>0.4921825</v>
      </c>
    </row>
    <row r="76" spans="1:37" s="26" customFormat="1" ht="18">
      <c r="A76" s="306" t="s">
        <v>255</v>
      </c>
      <c r="B76" s="307" t="s">
        <v>256</v>
      </c>
      <c r="C76" s="241"/>
      <c r="D76" s="241"/>
      <c r="E76" s="241"/>
      <c r="F76" s="241">
        <v>94134</v>
      </c>
      <c r="G76" s="241"/>
      <c r="H76" s="241"/>
      <c r="I76" s="241"/>
      <c r="J76" s="241"/>
      <c r="K76" s="241"/>
      <c r="L76" s="241"/>
      <c r="M76" s="241"/>
      <c r="N76" s="241"/>
      <c r="O76" s="241">
        <f>+D76+C76+E76+F76+G76+H76+I76+J76+K76+L76+M76+N76</f>
        <v>94134</v>
      </c>
      <c r="P76" s="241">
        <v>205000</v>
      </c>
      <c r="Q76" s="241">
        <f>+P76-O76</f>
        <v>110866</v>
      </c>
      <c r="R76" s="308">
        <f t="shared" si="44"/>
        <v>0.540809756097561</v>
      </c>
      <c r="S76" s="34"/>
      <c r="T76" s="306" t="s">
        <v>255</v>
      </c>
      <c r="U76" s="307" t="s">
        <v>256</v>
      </c>
      <c r="V76" s="241">
        <f>F76</f>
        <v>94134</v>
      </c>
      <c r="W76" s="309">
        <f t="shared" si="45"/>
        <v>0.0007958959219847311</v>
      </c>
      <c r="X76" s="241">
        <v>0</v>
      </c>
      <c r="Y76" s="326">
        <f>+X76-V76</f>
        <v>-94134</v>
      </c>
      <c r="Z76" s="310"/>
      <c r="AB76" s="306" t="s">
        <v>255</v>
      </c>
      <c r="AC76" s="307" t="s">
        <v>256</v>
      </c>
      <c r="AD76" s="311">
        <f>+O76</f>
        <v>94134</v>
      </c>
      <c r="AE76" s="311">
        <v>205000</v>
      </c>
      <c r="AF76" s="312"/>
      <c r="AG76" s="311">
        <f t="shared" si="46"/>
        <v>205000</v>
      </c>
      <c r="AH76" s="311"/>
      <c r="AI76" s="311">
        <v>205000</v>
      </c>
      <c r="AJ76" s="311">
        <f t="shared" si="47"/>
        <v>110866</v>
      </c>
      <c r="AK76" s="313">
        <f>+AJ76/AI76</f>
        <v>0.540809756097561</v>
      </c>
    </row>
    <row r="77" spans="1:37" ht="18" hidden="1">
      <c r="A77" s="35" t="s">
        <v>260</v>
      </c>
      <c r="B77" s="30" t="s">
        <v>261</v>
      </c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>
        <v>0</v>
      </c>
      <c r="Q77" s="16"/>
      <c r="R77" s="150"/>
      <c r="S77" s="34"/>
      <c r="T77" s="35" t="s">
        <v>260</v>
      </c>
      <c r="U77" s="30" t="s">
        <v>261</v>
      </c>
      <c r="V77" s="16">
        <f>F77</f>
        <v>0</v>
      </c>
      <c r="W77" s="219"/>
      <c r="X77" s="16">
        <v>0</v>
      </c>
      <c r="Y77" s="208"/>
      <c r="Z77" s="37"/>
      <c r="AB77" s="35" t="s">
        <v>260</v>
      </c>
      <c r="AC77" s="30" t="s">
        <v>261</v>
      </c>
      <c r="AD77" s="128">
        <f>+O77</f>
        <v>0</v>
      </c>
      <c r="AE77" s="128">
        <v>0</v>
      </c>
      <c r="AF77" s="128"/>
      <c r="AG77" s="128">
        <f t="shared" si="46"/>
        <v>0</v>
      </c>
      <c r="AH77" s="127"/>
      <c r="AI77" s="127">
        <f>AG77+AH77</f>
        <v>0</v>
      </c>
      <c r="AJ77" s="127">
        <f t="shared" si="47"/>
        <v>0</v>
      </c>
      <c r="AK77" s="164"/>
    </row>
    <row r="78" spans="1:37" ht="21.75" customHeight="1">
      <c r="A78" s="35">
        <v>5206</v>
      </c>
      <c r="B78" s="30" t="s">
        <v>84</v>
      </c>
      <c r="C78" s="16">
        <v>859395.28</v>
      </c>
      <c r="D78" s="16">
        <f>245511.58+897615.88</f>
        <v>1143127.46</v>
      </c>
      <c r="E78" s="16">
        <f>953358.61+279212</f>
        <v>1232570.6099999999</v>
      </c>
      <c r="F78" s="16">
        <v>16135126.610000001</v>
      </c>
      <c r="G78" s="16"/>
      <c r="H78" s="16"/>
      <c r="I78" s="16"/>
      <c r="J78" s="16"/>
      <c r="K78" s="16"/>
      <c r="L78" s="16"/>
      <c r="M78" s="16"/>
      <c r="N78" s="16"/>
      <c r="O78" s="16">
        <f>+D78+C78+E78+F78+G78+H78+I78+J78+K78+L78+M78+N78</f>
        <v>19370219.96</v>
      </c>
      <c r="P78" s="16">
        <v>3060568</v>
      </c>
      <c r="Q78" s="16">
        <f>+P78-O78</f>
        <v>-16309651.96</v>
      </c>
      <c r="R78" s="150">
        <f t="shared" si="44"/>
        <v>-5.328962454028141</v>
      </c>
      <c r="S78" s="34"/>
      <c r="T78" s="35">
        <v>5206</v>
      </c>
      <c r="U78" s="30" t="s">
        <v>84</v>
      </c>
      <c r="V78" s="16">
        <f>F78</f>
        <v>16135126.610000001</v>
      </c>
      <c r="W78" s="219">
        <f t="shared" si="45"/>
        <v>0.13642128741587864</v>
      </c>
      <c r="X78" s="16">
        <v>91667</v>
      </c>
      <c r="Y78" s="208">
        <f>+X78-V78</f>
        <v>-16043459.610000001</v>
      </c>
      <c r="Z78" s="37">
        <f>+Y78/X78</f>
        <v>-175.0189229493711</v>
      </c>
      <c r="AB78" s="35">
        <v>5206</v>
      </c>
      <c r="AC78" s="30" t="s">
        <v>84</v>
      </c>
      <c r="AD78" s="128">
        <f>+O78</f>
        <v>19370219.96</v>
      </c>
      <c r="AE78" s="128">
        <v>4543900</v>
      </c>
      <c r="AF78" s="209">
        <v>-450000</v>
      </c>
      <c r="AG78" s="128">
        <f t="shared" si="46"/>
        <v>4093900</v>
      </c>
      <c r="AH78" s="209">
        <f>AI78-AG78</f>
        <v>-300000</v>
      </c>
      <c r="AI78" s="128">
        <v>3793900</v>
      </c>
      <c r="AJ78" s="128">
        <f t="shared" si="47"/>
        <v>-15576319.96</v>
      </c>
      <c r="AK78" s="164">
        <f>+AJ78/AI78</f>
        <v>-4.105622172434698</v>
      </c>
    </row>
    <row r="79" spans="1:37" ht="21.75" customHeight="1" hidden="1">
      <c r="A79" s="39" t="s">
        <v>143</v>
      </c>
      <c r="B79" s="40" t="s">
        <v>257</v>
      </c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>
        <f>+D79+C79+E79+F79+G79+H79+I79+J79+K79+L79+M79+N79</f>
        <v>0</v>
      </c>
      <c r="P79" s="41">
        <v>0</v>
      </c>
      <c r="Q79" s="41">
        <f>+P79-O79</f>
        <v>0</v>
      </c>
      <c r="R79" s="151"/>
      <c r="S79" s="34"/>
      <c r="T79" s="39" t="s">
        <v>143</v>
      </c>
      <c r="U79" s="40" t="s">
        <v>257</v>
      </c>
      <c r="V79" s="41">
        <f>D79</f>
        <v>0</v>
      </c>
      <c r="W79" s="216">
        <f t="shared" si="45"/>
        <v>0</v>
      </c>
      <c r="X79" s="41">
        <v>0</v>
      </c>
      <c r="Y79" s="207">
        <f>+X79-V79</f>
        <v>0</v>
      </c>
      <c r="Z79" s="43" t="s">
        <v>138</v>
      </c>
      <c r="AB79" s="39" t="s">
        <v>143</v>
      </c>
      <c r="AC79" s="40" t="s">
        <v>257</v>
      </c>
      <c r="AD79" s="126">
        <f>+V79</f>
        <v>0</v>
      </c>
      <c r="AE79" s="126">
        <v>0</v>
      </c>
      <c r="AF79" s="126"/>
      <c r="AG79" s="126">
        <f t="shared" si="46"/>
        <v>0</v>
      </c>
      <c r="AH79" s="126"/>
      <c r="AI79" s="126">
        <f>AG79+AH79</f>
        <v>0</v>
      </c>
      <c r="AJ79" s="126">
        <f t="shared" si="47"/>
        <v>0</v>
      </c>
      <c r="AK79" s="165"/>
    </row>
    <row r="80" spans="1:37" ht="20.25" thickBot="1">
      <c r="A80" s="314">
        <v>5000</v>
      </c>
      <c r="B80" s="315" t="s">
        <v>127</v>
      </c>
      <c r="C80" s="316">
        <f aca="true" t="shared" si="48" ref="C80:Q80">SUM(C74:C79)</f>
        <v>874394.28</v>
      </c>
      <c r="D80" s="316">
        <f t="shared" si="48"/>
        <v>1145435.8599999999</v>
      </c>
      <c r="E80" s="316">
        <f t="shared" si="48"/>
        <v>1261339.8199999998</v>
      </c>
      <c r="F80" s="316">
        <f t="shared" si="48"/>
        <v>16519290.31</v>
      </c>
      <c r="G80" s="316">
        <f t="shared" si="48"/>
        <v>0</v>
      </c>
      <c r="H80" s="316">
        <f t="shared" si="48"/>
        <v>0</v>
      </c>
      <c r="I80" s="316">
        <f t="shared" si="48"/>
        <v>0</v>
      </c>
      <c r="J80" s="316">
        <f t="shared" si="48"/>
        <v>0</v>
      </c>
      <c r="K80" s="316">
        <f t="shared" si="48"/>
        <v>0</v>
      </c>
      <c r="L80" s="316">
        <f t="shared" si="48"/>
        <v>0</v>
      </c>
      <c r="M80" s="316">
        <f t="shared" si="48"/>
        <v>0</v>
      </c>
      <c r="N80" s="316">
        <f t="shared" si="48"/>
        <v>0</v>
      </c>
      <c r="O80" s="316">
        <f t="shared" si="48"/>
        <v>19800460.27</v>
      </c>
      <c r="P80" s="316">
        <v>3975568</v>
      </c>
      <c r="Q80" s="316">
        <f t="shared" si="48"/>
        <v>-15824892.270000001</v>
      </c>
      <c r="R80" s="317">
        <f t="shared" si="44"/>
        <v>-3.980536182502727</v>
      </c>
      <c r="S80" s="46"/>
      <c r="T80" s="314">
        <v>5000</v>
      </c>
      <c r="U80" s="315" t="s">
        <v>127</v>
      </c>
      <c r="V80" s="316">
        <f>SUM(V74:V79)</f>
        <v>16519290.31</v>
      </c>
      <c r="W80" s="318">
        <f t="shared" si="45"/>
        <v>0.13966936273621522</v>
      </c>
      <c r="X80" s="316">
        <v>91667</v>
      </c>
      <c r="Y80" s="325">
        <f>SUM(Y74:Y79)</f>
        <v>-16427623.31</v>
      </c>
      <c r="Z80" s="319" t="s">
        <v>138</v>
      </c>
      <c r="AB80" s="314">
        <v>5000</v>
      </c>
      <c r="AC80" s="315" t="s">
        <v>127</v>
      </c>
      <c r="AD80" s="316">
        <f aca="true" t="shared" si="49" ref="AD80:AJ80">SUM(AD74:AD79)</f>
        <v>19800460.27</v>
      </c>
      <c r="AE80" s="316">
        <f t="shared" si="49"/>
        <v>5481900</v>
      </c>
      <c r="AF80" s="320">
        <f t="shared" si="49"/>
        <v>-450000</v>
      </c>
      <c r="AG80" s="316">
        <f t="shared" si="49"/>
        <v>5031900</v>
      </c>
      <c r="AH80" s="321">
        <f t="shared" si="49"/>
        <v>-300000</v>
      </c>
      <c r="AI80" s="316">
        <f t="shared" si="49"/>
        <v>4731900</v>
      </c>
      <c r="AJ80" s="316">
        <f t="shared" si="49"/>
        <v>-15068560.270000001</v>
      </c>
      <c r="AK80" s="322">
        <f>AJ80/AI80</f>
        <v>-3.1844629577970798</v>
      </c>
    </row>
    <row r="81" spans="1:37" ht="21" thickBot="1" thickTop="1">
      <c r="A81" s="314"/>
      <c r="B81" s="323" t="s">
        <v>123</v>
      </c>
      <c r="C81" s="316">
        <f>C80+C72+C42+C26</f>
        <v>20456544.990000002</v>
      </c>
      <c r="D81" s="316">
        <f>D80+D72+D42+D26</f>
        <v>35553401.6</v>
      </c>
      <c r="E81" s="316">
        <f>E80+E72+E42+E26</f>
        <v>46278818.97999999</v>
      </c>
      <c r="F81" s="316">
        <f>F80+F72+F42+F26</f>
        <v>102407669.48</v>
      </c>
      <c r="G81" s="316" t="e">
        <f>G80+G72+G42+#REF!</f>
        <v>#REF!</v>
      </c>
      <c r="H81" s="316" t="e">
        <f>H80+H72+H42+#REF!</f>
        <v>#REF!</v>
      </c>
      <c r="I81" s="316" t="e">
        <f>I80+I72+I42+#REF!</f>
        <v>#REF!</v>
      </c>
      <c r="J81" s="316">
        <f>J80+J72+J42+J26</f>
        <v>0</v>
      </c>
      <c r="K81" s="316" t="e">
        <f>K80+K72+K42+#REF!</f>
        <v>#REF!</v>
      </c>
      <c r="L81" s="316" t="e">
        <f>L80+L72+L42+#REF!</f>
        <v>#REF!</v>
      </c>
      <c r="M81" s="316" t="e">
        <f>M80+M72+M42+#REF!</f>
        <v>#REF!</v>
      </c>
      <c r="N81" s="316" t="e">
        <f>N80+N72+N42+#REF!</f>
        <v>#REF!</v>
      </c>
      <c r="O81" s="316">
        <f>O80+O72+O42+O26</f>
        <v>204696435.05</v>
      </c>
      <c r="P81" s="316">
        <v>217515052.81948388</v>
      </c>
      <c r="Q81" s="316">
        <f>Q80+Q72+Q42+Q26</f>
        <v>12818617.769483883</v>
      </c>
      <c r="R81" s="317">
        <f t="shared" si="44"/>
        <v>0.0589320950588283</v>
      </c>
      <c r="S81" s="46"/>
      <c r="T81" s="314"/>
      <c r="U81" s="323" t="s">
        <v>123</v>
      </c>
      <c r="V81" s="316">
        <f>V80+V72+V42+V26</f>
        <v>102407669.48</v>
      </c>
      <c r="W81" s="318">
        <f t="shared" si="45"/>
        <v>0.8658491779706823</v>
      </c>
      <c r="X81" s="316">
        <v>53125582.777581096</v>
      </c>
      <c r="Y81" s="325">
        <f>Y80+Y72+Y42+Y26</f>
        <v>-49282086.702418916</v>
      </c>
      <c r="Z81" s="319">
        <f>+Y81/X81</f>
        <v>-0.9276526322308105</v>
      </c>
      <c r="AB81" s="314"/>
      <c r="AC81" s="323" t="s">
        <v>123</v>
      </c>
      <c r="AD81" s="316">
        <f aca="true" t="shared" si="50" ref="AD81:AJ81">AD80+AD72+AD42+AD26</f>
        <v>204696435.05</v>
      </c>
      <c r="AE81" s="316">
        <f t="shared" si="50"/>
        <v>551277408</v>
      </c>
      <c r="AF81" s="320">
        <f t="shared" si="50"/>
        <v>284088</v>
      </c>
      <c r="AG81" s="316">
        <f t="shared" si="50"/>
        <v>551561495</v>
      </c>
      <c r="AH81" s="321">
        <f>AH80+AH72+AH42+AH26-5</f>
        <v>0</v>
      </c>
      <c r="AI81" s="316">
        <f t="shared" si="50"/>
        <v>551561500</v>
      </c>
      <c r="AJ81" s="316">
        <f t="shared" si="50"/>
        <v>346865064.9499999</v>
      </c>
      <c r="AK81" s="322">
        <f>AJ81/AI81</f>
        <v>0.6288783117567124</v>
      </c>
    </row>
    <row r="82" spans="1:37" ht="9" customHeight="1" thickTop="1">
      <c r="A82" s="131"/>
      <c r="B82" s="156"/>
      <c r="C82" s="137"/>
      <c r="D82" s="137"/>
      <c r="E82" s="137"/>
      <c r="F82" s="137"/>
      <c r="G82" s="137"/>
      <c r="H82" s="137"/>
      <c r="I82" s="137"/>
      <c r="J82" s="137"/>
      <c r="K82" s="137"/>
      <c r="L82" s="137"/>
      <c r="M82" s="137"/>
      <c r="N82" s="137"/>
      <c r="O82" s="137"/>
      <c r="P82" s="137"/>
      <c r="Q82" s="137"/>
      <c r="R82" s="152"/>
      <c r="S82" s="46"/>
      <c r="T82" s="131"/>
      <c r="U82" s="156"/>
      <c r="V82" s="133"/>
      <c r="W82" s="134"/>
      <c r="X82" s="133"/>
      <c r="Y82" s="135"/>
      <c r="Z82" s="136"/>
      <c r="AB82" s="131"/>
      <c r="AC82" s="156"/>
      <c r="AD82" s="137"/>
      <c r="AE82" s="137"/>
      <c r="AF82" s="137"/>
      <c r="AG82" s="137"/>
      <c r="AH82" s="137"/>
      <c r="AI82" s="137"/>
      <c r="AJ82" s="137"/>
      <c r="AK82" s="136"/>
    </row>
    <row r="83" spans="1:37" s="26" customFormat="1" ht="18">
      <c r="A83" s="306" t="s">
        <v>145</v>
      </c>
      <c r="B83" s="307" t="s">
        <v>96</v>
      </c>
      <c r="C83" s="241">
        <v>15446521.76</v>
      </c>
      <c r="D83" s="241">
        <v>15446521.76</v>
      </c>
      <c r="E83" s="241">
        <v>15446521.76</v>
      </c>
      <c r="F83" s="241">
        <v>15446521</v>
      </c>
      <c r="G83" s="241"/>
      <c r="H83" s="241"/>
      <c r="I83" s="241"/>
      <c r="J83" s="241"/>
      <c r="K83" s="241"/>
      <c r="L83" s="241"/>
      <c r="M83" s="241"/>
      <c r="N83" s="241"/>
      <c r="O83" s="241">
        <f>+D83+C83+E83+F83+G83+H83+I83+J83+K83+L83+M83+N83</f>
        <v>61786086.28</v>
      </c>
      <c r="P83" s="241">
        <v>61786088</v>
      </c>
      <c r="Q83" s="241">
        <f>+P83-O83</f>
        <v>1.719999998807907</v>
      </c>
      <c r="R83" s="308">
        <f>+Q83/P83</f>
        <v>2.7837981890161213E-08</v>
      </c>
      <c r="S83" s="34"/>
      <c r="T83" s="306">
        <v>502</v>
      </c>
      <c r="U83" s="307" t="s">
        <v>96</v>
      </c>
      <c r="V83" s="241">
        <f>+F83</f>
        <v>15446521</v>
      </c>
      <c r="W83" s="309">
        <f>+V83/$V$87</f>
        <v>0.13059917854071335</v>
      </c>
      <c r="X83" s="241">
        <v>15446522</v>
      </c>
      <c r="Y83" s="241">
        <f>+X83-V83</f>
        <v>1</v>
      </c>
      <c r="Z83" s="310">
        <f>+Y83/X83</f>
        <v>6.473949281268624E-08</v>
      </c>
      <c r="AB83" s="306" t="s">
        <v>145</v>
      </c>
      <c r="AC83" s="307" t="s">
        <v>96</v>
      </c>
      <c r="AD83" s="311">
        <f>+O83</f>
        <v>61786086.28</v>
      </c>
      <c r="AE83" s="311">
        <v>185358261</v>
      </c>
      <c r="AF83" s="312"/>
      <c r="AG83" s="311">
        <f>AE83-AF83</f>
        <v>185358261</v>
      </c>
      <c r="AH83" s="311"/>
      <c r="AI83" s="311">
        <f>AG83+AH83</f>
        <v>185358261</v>
      </c>
      <c r="AJ83" s="311">
        <f>AI83-AD83</f>
        <v>123572174.72</v>
      </c>
      <c r="AK83" s="313">
        <f>+AJ83/AI83</f>
        <v>0.6666666705510363</v>
      </c>
    </row>
    <row r="84" spans="1:38" ht="18">
      <c r="A84" s="48" t="s">
        <v>146</v>
      </c>
      <c r="B84" s="31" t="s">
        <v>97</v>
      </c>
      <c r="C84" s="5">
        <v>420067.73</v>
      </c>
      <c r="D84" s="5">
        <v>420067.73</v>
      </c>
      <c r="E84" s="5">
        <v>420067.73</v>
      </c>
      <c r="F84" s="5">
        <v>420068</v>
      </c>
      <c r="G84" s="5"/>
      <c r="H84" s="5"/>
      <c r="I84" s="5"/>
      <c r="J84" s="5"/>
      <c r="K84" s="5"/>
      <c r="L84" s="5"/>
      <c r="M84" s="5"/>
      <c r="N84" s="5"/>
      <c r="O84" s="5">
        <f>+D84+C84+E84+F84+G84+H84+I84+J84+K84+L84+M84+N84+1</f>
        <v>1680272.19</v>
      </c>
      <c r="P84" s="5">
        <v>1680272</v>
      </c>
      <c r="Q84" s="5">
        <f>+P84-O84</f>
        <v>-0.18999999994412065</v>
      </c>
      <c r="R84" s="153">
        <f>+Q84/P84</f>
        <v>-1.1307693036848834E-07</v>
      </c>
      <c r="S84" s="34"/>
      <c r="T84" s="125">
        <v>507</v>
      </c>
      <c r="U84" s="31" t="s">
        <v>97</v>
      </c>
      <c r="V84" s="50">
        <f>+F84</f>
        <v>420068</v>
      </c>
      <c r="W84" s="36">
        <f>+V84/$V$87</f>
        <v>0.003551643488604351</v>
      </c>
      <c r="X84" s="50">
        <v>420068</v>
      </c>
      <c r="Y84" s="5">
        <f>+X84-V84</f>
        <v>0</v>
      </c>
      <c r="Z84" s="49">
        <f>+Y84/X84</f>
        <v>0</v>
      </c>
      <c r="AB84" s="48" t="s">
        <v>146</v>
      </c>
      <c r="AC84" s="31" t="s">
        <v>97</v>
      </c>
      <c r="AD84" s="127">
        <f>+O84</f>
        <v>1680272.19</v>
      </c>
      <c r="AE84" s="127">
        <v>5040813</v>
      </c>
      <c r="AF84" s="127"/>
      <c r="AG84" s="127">
        <f>AE84-AF84</f>
        <v>5040813</v>
      </c>
      <c r="AH84" s="127"/>
      <c r="AI84" s="127">
        <f>AG84+AH84</f>
        <v>5040813</v>
      </c>
      <c r="AJ84" s="38">
        <f>AI84-AD84</f>
        <v>3360540.81</v>
      </c>
      <c r="AK84" s="164">
        <f>+AJ84/AI84</f>
        <v>0.6666664305936364</v>
      </c>
      <c r="AL84" s="47"/>
    </row>
    <row r="85" spans="1:37" s="26" customFormat="1" ht="18">
      <c r="A85" s="306" t="s">
        <v>277</v>
      </c>
      <c r="B85" s="307" t="s">
        <v>69</v>
      </c>
      <c r="C85" s="241"/>
      <c r="D85" s="241"/>
      <c r="E85" s="241">
        <v>111214956.68</v>
      </c>
      <c r="F85" s="241"/>
      <c r="G85" s="241"/>
      <c r="H85" s="241"/>
      <c r="I85" s="241"/>
      <c r="J85" s="241"/>
      <c r="K85" s="241"/>
      <c r="L85" s="241"/>
      <c r="M85" s="241"/>
      <c r="N85" s="241"/>
      <c r="O85" s="241">
        <f>+D85+C85+E85+F85+G85+H85+I85+J85+K85+L85+M85+N85</f>
        <v>111214956.68</v>
      </c>
      <c r="P85" s="241">
        <v>111214957</v>
      </c>
      <c r="Q85" s="241">
        <f>+P85-O85</f>
        <v>0.3199999928474426</v>
      </c>
      <c r="R85" s="308"/>
      <c r="S85" s="34"/>
      <c r="T85" s="306" t="s">
        <v>277</v>
      </c>
      <c r="U85" s="307" t="s">
        <v>69</v>
      </c>
      <c r="V85" s="241">
        <f>+F85</f>
        <v>0</v>
      </c>
      <c r="W85" s="309">
        <f>+V85/$V$87</f>
        <v>0</v>
      </c>
      <c r="X85" s="241">
        <v>0</v>
      </c>
      <c r="Y85" s="241">
        <f>+X85-V85</f>
        <v>0</v>
      </c>
      <c r="Z85" s="310"/>
      <c r="AB85" s="306" t="s">
        <v>277</v>
      </c>
      <c r="AC85" s="307" t="s">
        <v>69</v>
      </c>
      <c r="AD85" s="311">
        <f>+O85</f>
        <v>111214956.68</v>
      </c>
      <c r="AE85" s="311">
        <v>111214957</v>
      </c>
      <c r="AF85" s="312"/>
      <c r="AG85" s="311">
        <f>AE85-AF85</f>
        <v>111214957</v>
      </c>
      <c r="AH85" s="311"/>
      <c r="AI85" s="311">
        <f>AG85+AH85</f>
        <v>111214957</v>
      </c>
      <c r="AJ85" s="311">
        <f>AI85-AD85</f>
        <v>0.3199999928474426</v>
      </c>
      <c r="AK85" s="313">
        <f>+AJ85/AI85</f>
        <v>2.8773107635822996E-09</v>
      </c>
    </row>
    <row r="86" spans="1:37" ht="20.25" thickBot="1">
      <c r="A86" s="314"/>
      <c r="B86" s="315" t="s">
        <v>124</v>
      </c>
      <c r="C86" s="316">
        <f aca="true" t="shared" si="51" ref="C86:N86">SUM(C83:C85)</f>
        <v>15866589.49</v>
      </c>
      <c r="D86" s="316">
        <f t="shared" si="51"/>
        <v>15866589.49</v>
      </c>
      <c r="E86" s="316">
        <f t="shared" si="51"/>
        <v>127081546.17</v>
      </c>
      <c r="F86" s="316">
        <f t="shared" si="51"/>
        <v>15866589</v>
      </c>
      <c r="G86" s="316">
        <f t="shared" si="51"/>
        <v>0</v>
      </c>
      <c r="H86" s="316">
        <f t="shared" si="51"/>
        <v>0</v>
      </c>
      <c r="I86" s="316">
        <f t="shared" si="51"/>
        <v>0</v>
      </c>
      <c r="J86" s="316">
        <f t="shared" si="51"/>
        <v>0</v>
      </c>
      <c r="K86" s="316">
        <f t="shared" si="51"/>
        <v>0</v>
      </c>
      <c r="L86" s="316">
        <f t="shared" si="51"/>
        <v>0</v>
      </c>
      <c r="M86" s="316">
        <f t="shared" si="51"/>
        <v>0</v>
      </c>
      <c r="N86" s="316">
        <f t="shared" si="51"/>
        <v>0</v>
      </c>
      <c r="O86" s="316">
        <f>SUM(O83:O85)</f>
        <v>174681315.15</v>
      </c>
      <c r="P86" s="316">
        <v>174681317</v>
      </c>
      <c r="Q86" s="316">
        <f>SUM(Q83:Q85)</f>
        <v>1.849999991711229</v>
      </c>
      <c r="R86" s="317">
        <f>+Q86/P86</f>
        <v>1.059071469967924E-08</v>
      </c>
      <c r="S86" s="46"/>
      <c r="T86" s="314"/>
      <c r="U86" s="315" t="s">
        <v>124</v>
      </c>
      <c r="V86" s="316">
        <f>SUM(V83:V85)</f>
        <v>15866589</v>
      </c>
      <c r="W86" s="318">
        <f>+V86/$V$87</f>
        <v>0.1341508220293177</v>
      </c>
      <c r="X86" s="316">
        <v>15866590</v>
      </c>
      <c r="Y86" s="316">
        <f>SUM(Y83:Y85)-1</f>
        <v>0</v>
      </c>
      <c r="Z86" s="319">
        <f>+Y86/X86</f>
        <v>0</v>
      </c>
      <c r="AB86" s="314"/>
      <c r="AC86" s="315" t="s">
        <v>124</v>
      </c>
      <c r="AD86" s="316">
        <f aca="true" t="shared" si="52" ref="AD86:AJ86">SUM(AD83:AD85)</f>
        <v>174681315.15</v>
      </c>
      <c r="AE86" s="316">
        <f t="shared" si="52"/>
        <v>301614031</v>
      </c>
      <c r="AF86" s="320">
        <f>SUM(AF83:AF85)</f>
        <v>0</v>
      </c>
      <c r="AG86" s="316">
        <f>SUM(AG83:AG85)</f>
        <v>301614031</v>
      </c>
      <c r="AH86" s="321">
        <f>SUM(AH83:AH85)</f>
        <v>0</v>
      </c>
      <c r="AI86" s="316">
        <f>SUM(AI83:AI85)</f>
        <v>301614031</v>
      </c>
      <c r="AJ86" s="316">
        <f t="shared" si="52"/>
        <v>126932715.85</v>
      </c>
      <c r="AK86" s="322">
        <f>AJ86/AI86</f>
        <v>0.42084486397783</v>
      </c>
    </row>
    <row r="87" spans="1:37" ht="21" thickBot="1" thickTop="1">
      <c r="A87" s="338" t="s">
        <v>193</v>
      </c>
      <c r="B87" s="339"/>
      <c r="C87" s="316">
        <f aca="true" t="shared" si="53" ref="C87:Q87">C81+C86</f>
        <v>36323134.480000004</v>
      </c>
      <c r="D87" s="316">
        <f t="shared" si="53"/>
        <v>51419991.09</v>
      </c>
      <c r="E87" s="316">
        <f t="shared" si="53"/>
        <v>173360365.14999998</v>
      </c>
      <c r="F87" s="316">
        <f t="shared" si="53"/>
        <v>118274258.48</v>
      </c>
      <c r="G87" s="316" t="e">
        <f t="shared" si="53"/>
        <v>#REF!</v>
      </c>
      <c r="H87" s="316" t="e">
        <f t="shared" si="53"/>
        <v>#REF!</v>
      </c>
      <c r="I87" s="316" t="e">
        <f t="shared" si="53"/>
        <v>#REF!</v>
      </c>
      <c r="J87" s="316">
        <f t="shared" si="53"/>
        <v>0</v>
      </c>
      <c r="K87" s="316" t="e">
        <f t="shared" si="53"/>
        <v>#REF!</v>
      </c>
      <c r="L87" s="316" t="e">
        <f t="shared" si="53"/>
        <v>#REF!</v>
      </c>
      <c r="M87" s="316" t="e">
        <f t="shared" si="53"/>
        <v>#REF!</v>
      </c>
      <c r="N87" s="316" t="e">
        <f t="shared" si="53"/>
        <v>#REF!</v>
      </c>
      <c r="O87" s="316">
        <f t="shared" si="53"/>
        <v>379377750.20000005</v>
      </c>
      <c r="P87" s="316">
        <v>392196369.8194839</v>
      </c>
      <c r="Q87" s="316">
        <f t="shared" si="53"/>
        <v>12818619.619483875</v>
      </c>
      <c r="R87" s="317">
        <f>+Q87/P87</f>
        <v>0.032684187325303135</v>
      </c>
      <c r="S87" s="46"/>
      <c r="T87" s="314"/>
      <c r="U87" s="323" t="s">
        <v>178</v>
      </c>
      <c r="V87" s="316">
        <f>V81+V86</f>
        <v>118274258.48</v>
      </c>
      <c r="W87" s="318">
        <f>W81+W86</f>
        <v>1</v>
      </c>
      <c r="X87" s="316">
        <v>68992172.7775811</v>
      </c>
      <c r="Y87" s="325">
        <f>Y81+Y86</f>
        <v>-49282086.702418916</v>
      </c>
      <c r="Z87" s="319">
        <f>Y87/X87</f>
        <v>-0.7143141709900324</v>
      </c>
      <c r="AB87" s="314"/>
      <c r="AC87" s="323" t="s">
        <v>178</v>
      </c>
      <c r="AD87" s="316">
        <f aca="true" t="shared" si="54" ref="AD87:AJ87">AD81+AD86</f>
        <v>379377750.20000005</v>
      </c>
      <c r="AE87" s="316">
        <f t="shared" si="54"/>
        <v>852891439</v>
      </c>
      <c r="AF87" s="320">
        <f t="shared" si="54"/>
        <v>284088</v>
      </c>
      <c r="AG87" s="316">
        <f t="shared" si="54"/>
        <v>853175526</v>
      </c>
      <c r="AH87" s="321">
        <f t="shared" si="54"/>
        <v>0</v>
      </c>
      <c r="AI87" s="316">
        <f t="shared" si="54"/>
        <v>853175531</v>
      </c>
      <c r="AJ87" s="316">
        <f t="shared" si="54"/>
        <v>473797780.79999995</v>
      </c>
      <c r="AK87" s="322">
        <f>AJ87/AI87</f>
        <v>0.5553344693848234</v>
      </c>
    </row>
    <row r="88" spans="1:28" ht="20.25" thickTop="1">
      <c r="A88" s="51"/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S88" s="53"/>
      <c r="T88" s="51"/>
      <c r="V88" s="54"/>
      <c r="Y88" s="55"/>
      <c r="AB88" s="51"/>
    </row>
    <row r="89" spans="15:35" ht="19.5">
      <c r="O89" s="130"/>
      <c r="S89" s="53"/>
      <c r="T89" s="51"/>
      <c r="V89" s="54"/>
      <c r="AB89" s="56"/>
      <c r="AC89" s="57"/>
      <c r="AD89" s="44"/>
      <c r="AE89" s="44"/>
      <c r="AF89" s="44"/>
      <c r="AG89" s="44"/>
      <c r="AH89" s="44"/>
      <c r="AI89" s="44"/>
    </row>
    <row r="90" spans="1:36" ht="18">
      <c r="A90" s="2" t="s">
        <v>138</v>
      </c>
      <c r="D90" s="2" t="s">
        <v>138</v>
      </c>
      <c r="S90" s="53"/>
      <c r="T90" s="51"/>
      <c r="AB90" s="51"/>
      <c r="AD90" s="25"/>
      <c r="AE90" s="25"/>
      <c r="AF90" s="25"/>
      <c r="AG90" s="25"/>
      <c r="AH90" s="25"/>
      <c r="AJ90" s="59"/>
    </row>
    <row r="91" spans="2:35" ht="19.5">
      <c r="B91" s="2" t="s">
        <v>138</v>
      </c>
      <c r="I91" s="2" t="s">
        <v>138</v>
      </c>
      <c r="J91" s="2" t="s">
        <v>138</v>
      </c>
      <c r="O91" s="130"/>
      <c r="S91" s="53"/>
      <c r="T91" s="51"/>
      <c r="V91" s="54"/>
      <c r="AB91" s="56"/>
      <c r="AC91" s="57" t="s">
        <v>138</v>
      </c>
      <c r="AD91" s="44"/>
      <c r="AE91" s="44"/>
      <c r="AF91" s="44"/>
      <c r="AG91" s="44"/>
      <c r="AH91" s="44"/>
      <c r="AI91" s="44"/>
    </row>
    <row r="92" spans="15:35" ht="19.5">
      <c r="O92" s="130"/>
      <c r="S92" s="53"/>
      <c r="T92" s="51"/>
      <c r="V92" s="54"/>
      <c r="AB92" s="56"/>
      <c r="AC92" s="57"/>
      <c r="AD92" s="44"/>
      <c r="AE92" s="44"/>
      <c r="AF92" s="44"/>
      <c r="AG92" s="44"/>
      <c r="AH92" s="44"/>
      <c r="AI92" s="44"/>
    </row>
    <row r="93" spans="15:35" ht="19.5">
      <c r="O93" s="130"/>
      <c r="S93" s="53"/>
      <c r="T93" s="51"/>
      <c r="V93" s="54"/>
      <c r="AB93" s="56"/>
      <c r="AC93" s="57"/>
      <c r="AD93" s="44"/>
      <c r="AE93" s="44"/>
      <c r="AF93" s="44"/>
      <c r="AG93" s="44"/>
      <c r="AH93" s="44"/>
      <c r="AI93" s="44"/>
    </row>
    <row r="94" spans="15:35" ht="19.5">
      <c r="O94" s="130"/>
      <c r="S94" s="53"/>
      <c r="T94" s="51"/>
      <c r="V94" s="54"/>
      <c r="AB94" s="56"/>
      <c r="AC94" s="57"/>
      <c r="AD94" s="44"/>
      <c r="AE94" s="44"/>
      <c r="AF94" s="44"/>
      <c r="AG94" s="44"/>
      <c r="AH94" s="44"/>
      <c r="AI94" s="44"/>
    </row>
    <row r="95" spans="15:35" ht="19.5">
      <c r="O95" s="130"/>
      <c r="S95" s="53"/>
      <c r="T95" s="51"/>
      <c r="V95" s="54"/>
      <c r="AB95" s="56"/>
      <c r="AC95" s="57"/>
      <c r="AD95" s="44"/>
      <c r="AE95" s="44"/>
      <c r="AF95" s="44"/>
      <c r="AG95" s="44"/>
      <c r="AH95" s="44"/>
      <c r="AI95" s="44"/>
    </row>
    <row r="96" spans="15:35" ht="19.5">
      <c r="O96" s="130"/>
      <c r="P96" s="2" t="s">
        <v>200</v>
      </c>
      <c r="S96" s="53"/>
      <c r="T96" s="51"/>
      <c r="V96" s="54"/>
      <c r="AB96" s="56"/>
      <c r="AC96" s="57"/>
      <c r="AD96" s="44"/>
      <c r="AE96" s="44"/>
      <c r="AF96" s="44"/>
      <c r="AG96" s="44"/>
      <c r="AH96" s="44"/>
      <c r="AI96" s="44"/>
    </row>
    <row r="97" spans="15:35" ht="19.5">
      <c r="O97" s="130"/>
      <c r="S97" s="53"/>
      <c r="T97" s="51"/>
      <c r="V97" s="54"/>
      <c r="AB97" s="56"/>
      <c r="AC97" s="57"/>
      <c r="AD97" s="44"/>
      <c r="AE97" s="44"/>
      <c r="AF97" s="44"/>
      <c r="AG97" s="44"/>
      <c r="AH97" s="44"/>
      <c r="AI97" s="44"/>
    </row>
    <row r="98" spans="15:35" ht="19.5">
      <c r="O98" s="130"/>
      <c r="S98" s="53"/>
      <c r="T98" s="51"/>
      <c r="V98" s="54"/>
      <c r="AB98" s="56"/>
      <c r="AC98" s="57"/>
      <c r="AD98" s="44"/>
      <c r="AE98" s="44"/>
      <c r="AF98" s="44"/>
      <c r="AG98" s="44"/>
      <c r="AH98" s="44"/>
      <c r="AI98" s="44"/>
    </row>
    <row r="99" spans="15:35" ht="19.5">
      <c r="O99" s="130"/>
      <c r="S99" s="53"/>
      <c r="T99" s="51"/>
      <c r="V99" s="54"/>
      <c r="AB99" s="56"/>
      <c r="AC99" s="57"/>
      <c r="AD99" s="44"/>
      <c r="AE99" s="44"/>
      <c r="AF99" s="44"/>
      <c r="AG99" s="44"/>
      <c r="AH99" s="44"/>
      <c r="AI99" s="44"/>
    </row>
    <row r="100" spans="15:35" ht="19.5">
      <c r="O100" s="130"/>
      <c r="S100" s="53"/>
      <c r="T100" s="51"/>
      <c r="V100" s="54"/>
      <c r="AB100" s="56"/>
      <c r="AC100" s="57"/>
      <c r="AD100" s="44"/>
      <c r="AE100" s="44"/>
      <c r="AF100" s="44"/>
      <c r="AG100" s="44"/>
      <c r="AH100" s="44"/>
      <c r="AI100" s="44"/>
    </row>
    <row r="101" spans="15:35" ht="19.5">
      <c r="O101" s="130"/>
      <c r="S101" s="53"/>
      <c r="T101" s="51"/>
      <c r="V101" s="54"/>
      <c r="AB101" s="56"/>
      <c r="AC101" s="57"/>
      <c r="AD101" s="44"/>
      <c r="AE101" s="44"/>
      <c r="AF101" s="44"/>
      <c r="AG101" s="44"/>
      <c r="AH101" s="44"/>
      <c r="AI101" s="44"/>
    </row>
    <row r="102" spans="15:35" ht="19.5">
      <c r="O102" s="130"/>
      <c r="S102" s="53"/>
      <c r="T102" s="51"/>
      <c r="V102" s="54"/>
      <c r="AB102" s="56"/>
      <c r="AC102" s="57"/>
      <c r="AD102" s="44"/>
      <c r="AE102" s="44"/>
      <c r="AF102" s="44"/>
      <c r="AG102" s="44"/>
      <c r="AH102" s="44"/>
      <c r="AI102" s="44"/>
    </row>
    <row r="103" spans="15:35" ht="19.5">
      <c r="O103" s="130"/>
      <c r="S103" s="53"/>
      <c r="T103" s="51"/>
      <c r="V103" s="54"/>
      <c r="AB103" s="56"/>
      <c r="AC103" s="57"/>
      <c r="AD103" s="44"/>
      <c r="AE103" s="44"/>
      <c r="AF103" s="44"/>
      <c r="AG103" s="44"/>
      <c r="AH103" s="44"/>
      <c r="AI103" s="44"/>
    </row>
    <row r="104" spans="15:35" ht="19.5">
      <c r="O104" s="130"/>
      <c r="S104" s="53"/>
      <c r="T104" s="51"/>
      <c r="V104" s="54"/>
      <c r="AB104" s="56"/>
      <c r="AC104" s="57"/>
      <c r="AD104" s="44"/>
      <c r="AE104" s="44"/>
      <c r="AF104" s="44"/>
      <c r="AG104" s="44"/>
      <c r="AH104" s="44"/>
      <c r="AI104" s="44"/>
    </row>
    <row r="105" spans="15:35" ht="19.5">
      <c r="O105" s="130"/>
      <c r="S105" s="53"/>
      <c r="T105" s="51"/>
      <c r="V105" s="54"/>
      <c r="AB105" s="56"/>
      <c r="AC105" s="57"/>
      <c r="AD105" s="44"/>
      <c r="AE105" s="44"/>
      <c r="AF105" s="44"/>
      <c r="AG105" s="44"/>
      <c r="AH105" s="44"/>
      <c r="AI105" s="44"/>
    </row>
    <row r="106" spans="15:35" ht="19.5">
      <c r="O106" s="130"/>
      <c r="S106" s="53"/>
      <c r="T106" s="51"/>
      <c r="V106" s="54"/>
      <c r="AB106" s="56"/>
      <c r="AC106" s="57"/>
      <c r="AD106" s="44"/>
      <c r="AE106" s="44"/>
      <c r="AF106" s="44"/>
      <c r="AG106" s="44"/>
      <c r="AH106" s="44"/>
      <c r="AI106" s="44"/>
    </row>
    <row r="107" spans="15:35" ht="19.5">
      <c r="O107" s="130"/>
      <c r="S107" s="53"/>
      <c r="T107" s="51"/>
      <c r="V107" s="54"/>
      <c r="AB107" s="56"/>
      <c r="AC107" s="57"/>
      <c r="AD107" s="44"/>
      <c r="AE107" s="44"/>
      <c r="AF107" s="44"/>
      <c r="AG107" s="44"/>
      <c r="AH107" s="44"/>
      <c r="AI107" s="44"/>
    </row>
    <row r="108" spans="15:35" ht="19.5">
      <c r="O108" s="130"/>
      <c r="S108" s="53"/>
      <c r="T108" s="51"/>
      <c r="V108" s="54"/>
      <c r="AB108" s="56"/>
      <c r="AC108" s="57"/>
      <c r="AD108" s="44"/>
      <c r="AE108" s="44"/>
      <c r="AF108" s="44"/>
      <c r="AG108" s="44"/>
      <c r="AH108" s="44"/>
      <c r="AI108" s="44"/>
    </row>
    <row r="109" spans="15:35" ht="19.5">
      <c r="O109" s="130"/>
      <c r="S109" s="53"/>
      <c r="T109" s="51"/>
      <c r="V109" s="54"/>
      <c r="AB109" s="56"/>
      <c r="AC109" s="57"/>
      <c r="AD109" s="44"/>
      <c r="AE109" s="44"/>
      <c r="AF109" s="44"/>
      <c r="AG109" s="44"/>
      <c r="AH109" s="44"/>
      <c r="AI109" s="44"/>
    </row>
    <row r="110" spans="15:35" ht="19.5">
      <c r="O110" s="130"/>
      <c r="S110" s="53"/>
      <c r="T110" s="51"/>
      <c r="V110" s="54"/>
      <c r="AB110" s="56"/>
      <c r="AC110" s="57"/>
      <c r="AD110" s="44"/>
      <c r="AE110" s="44"/>
      <c r="AF110" s="44"/>
      <c r="AG110" s="44"/>
      <c r="AH110" s="44"/>
      <c r="AI110" s="44"/>
    </row>
    <row r="111" spans="15:35" ht="19.5">
      <c r="O111" s="130"/>
      <c r="S111" s="53"/>
      <c r="T111" s="51"/>
      <c r="V111" s="54"/>
      <c r="AB111" s="56"/>
      <c r="AC111" s="57"/>
      <c r="AD111" s="44"/>
      <c r="AE111" s="44"/>
      <c r="AF111" s="44"/>
      <c r="AG111" s="44"/>
      <c r="AH111" s="44"/>
      <c r="AI111" s="44"/>
    </row>
    <row r="112" spans="15:35" ht="19.5">
      <c r="O112" s="130"/>
      <c r="S112" s="53"/>
      <c r="T112" s="51"/>
      <c r="V112" s="54"/>
      <c r="AB112" s="56"/>
      <c r="AC112" s="57"/>
      <c r="AD112" s="44"/>
      <c r="AE112" s="44"/>
      <c r="AF112" s="44"/>
      <c r="AG112" s="44"/>
      <c r="AH112" s="44"/>
      <c r="AI112" s="44"/>
    </row>
    <row r="113" spans="15:35" ht="19.5">
      <c r="O113" s="130"/>
      <c r="S113" s="53"/>
      <c r="T113" s="51"/>
      <c r="V113" s="54"/>
      <c r="AB113" s="56"/>
      <c r="AC113" s="57"/>
      <c r="AD113" s="44"/>
      <c r="AE113" s="44"/>
      <c r="AF113" s="44"/>
      <c r="AG113" s="44"/>
      <c r="AH113" s="44"/>
      <c r="AI113" s="44"/>
    </row>
    <row r="114" spans="15:35" ht="19.5">
      <c r="O114" s="130"/>
      <c r="S114" s="53"/>
      <c r="T114" s="51"/>
      <c r="V114" s="54"/>
      <c r="AB114" s="56"/>
      <c r="AC114" s="57"/>
      <c r="AD114" s="44"/>
      <c r="AE114" s="44"/>
      <c r="AF114" s="44"/>
      <c r="AG114" s="44"/>
      <c r="AH114" s="44"/>
      <c r="AI114" s="44"/>
    </row>
    <row r="115" spans="15:35" ht="19.5">
      <c r="O115" s="130"/>
      <c r="S115" s="53"/>
      <c r="T115" s="51"/>
      <c r="V115" s="54"/>
      <c r="AB115" s="56"/>
      <c r="AC115" s="57"/>
      <c r="AD115" s="44"/>
      <c r="AE115" s="44"/>
      <c r="AF115" s="44"/>
      <c r="AG115" s="44"/>
      <c r="AH115" s="44"/>
      <c r="AI115" s="44"/>
    </row>
    <row r="116" spans="15:35" ht="19.5">
      <c r="O116" s="130"/>
      <c r="S116" s="53"/>
      <c r="T116" s="51"/>
      <c r="V116" s="54"/>
      <c r="AB116" s="56"/>
      <c r="AC116" s="57"/>
      <c r="AD116" s="44"/>
      <c r="AE116" s="44"/>
      <c r="AF116" s="44"/>
      <c r="AG116" s="44"/>
      <c r="AH116" s="44"/>
      <c r="AI116" s="44"/>
    </row>
    <row r="117" spans="15:35" ht="19.5">
      <c r="O117" s="130"/>
      <c r="S117" s="53"/>
      <c r="T117" s="51"/>
      <c r="V117" s="54"/>
      <c r="AB117" s="56"/>
      <c r="AC117" s="57"/>
      <c r="AD117" s="44"/>
      <c r="AE117" s="44"/>
      <c r="AF117" s="44"/>
      <c r="AG117" s="44"/>
      <c r="AH117" s="44"/>
      <c r="AI117" s="44"/>
    </row>
    <row r="118" spans="15:35" ht="19.5">
      <c r="O118" s="130"/>
      <c r="S118" s="53"/>
      <c r="T118" s="51"/>
      <c r="V118" s="54"/>
      <c r="AB118" s="56"/>
      <c r="AC118" s="57"/>
      <c r="AD118" s="44"/>
      <c r="AE118" s="44"/>
      <c r="AF118" s="44"/>
      <c r="AG118" s="44"/>
      <c r="AH118" s="44"/>
      <c r="AI118" s="44"/>
    </row>
    <row r="119" spans="15:35" ht="19.5">
      <c r="O119" s="130"/>
      <c r="S119" s="53"/>
      <c r="T119" s="51"/>
      <c r="V119" s="54"/>
      <c r="AB119" s="56"/>
      <c r="AC119" s="57"/>
      <c r="AD119" s="44"/>
      <c r="AE119" s="44"/>
      <c r="AF119" s="44"/>
      <c r="AG119" s="44"/>
      <c r="AH119" s="44"/>
      <c r="AI119" s="44"/>
    </row>
    <row r="120" spans="15:35" ht="19.5">
      <c r="O120" s="130"/>
      <c r="S120" s="53"/>
      <c r="T120" s="51"/>
      <c r="V120" s="54"/>
      <c r="AB120" s="56"/>
      <c r="AC120" s="57"/>
      <c r="AD120" s="44"/>
      <c r="AE120" s="44"/>
      <c r="AF120" s="44"/>
      <c r="AG120" s="44"/>
      <c r="AH120" s="44"/>
      <c r="AI120" s="44"/>
    </row>
    <row r="121" spans="15:35" ht="19.5">
      <c r="O121" s="130"/>
      <c r="S121" s="53"/>
      <c r="T121" s="51"/>
      <c r="V121" s="54"/>
      <c r="AB121" s="56"/>
      <c r="AC121" s="57"/>
      <c r="AD121" s="44"/>
      <c r="AE121" s="44"/>
      <c r="AF121" s="44"/>
      <c r="AG121" s="44"/>
      <c r="AH121" s="44"/>
      <c r="AI121" s="44"/>
    </row>
    <row r="122" spans="15:35" ht="19.5">
      <c r="O122" s="130"/>
      <c r="S122" s="53"/>
      <c r="T122" s="51"/>
      <c r="V122" s="54"/>
      <c r="AB122" s="56"/>
      <c r="AC122" s="57"/>
      <c r="AD122" s="44"/>
      <c r="AE122" s="44"/>
      <c r="AF122" s="44"/>
      <c r="AG122" s="44"/>
      <c r="AH122" s="44"/>
      <c r="AI122" s="44"/>
    </row>
    <row r="123" spans="15:35" ht="19.5">
      <c r="O123" s="130"/>
      <c r="S123" s="53"/>
      <c r="T123" s="51"/>
      <c r="V123" s="54"/>
      <c r="AB123" s="56"/>
      <c r="AC123" s="57"/>
      <c r="AD123" s="44"/>
      <c r="AE123" s="44"/>
      <c r="AF123" s="44"/>
      <c r="AG123" s="44"/>
      <c r="AH123" s="44"/>
      <c r="AI123" s="44"/>
    </row>
    <row r="124" spans="15:35" ht="19.5">
      <c r="O124" s="130"/>
      <c r="S124" s="53"/>
      <c r="T124" s="51"/>
      <c r="V124" s="54"/>
      <c r="AB124" s="56"/>
      <c r="AC124" s="57"/>
      <c r="AD124" s="44"/>
      <c r="AE124" s="44"/>
      <c r="AF124" s="44"/>
      <c r="AG124" s="44"/>
      <c r="AH124" s="44"/>
      <c r="AI124" s="44"/>
    </row>
    <row r="125" spans="15:35" ht="19.5">
      <c r="O125" s="130"/>
      <c r="S125" s="53"/>
      <c r="T125" s="51"/>
      <c r="V125" s="54"/>
      <c r="AB125" s="56"/>
      <c r="AC125" s="57"/>
      <c r="AD125" s="44"/>
      <c r="AE125" s="44"/>
      <c r="AF125" s="44"/>
      <c r="AG125" s="44"/>
      <c r="AH125" s="44"/>
      <c r="AI125" s="44"/>
    </row>
    <row r="126" spans="15:35" ht="19.5">
      <c r="O126" s="130"/>
      <c r="S126" s="53"/>
      <c r="T126" s="51"/>
      <c r="V126" s="54"/>
      <c r="AB126" s="56"/>
      <c r="AC126" s="57"/>
      <c r="AD126" s="44"/>
      <c r="AE126" s="44"/>
      <c r="AF126" s="44"/>
      <c r="AG126" s="44"/>
      <c r="AH126" s="44"/>
      <c r="AI126" s="44"/>
    </row>
    <row r="127" spans="15:35" ht="19.5">
      <c r="O127" s="130"/>
      <c r="S127" s="53"/>
      <c r="T127" s="51"/>
      <c r="V127" s="54"/>
      <c r="AB127" s="56"/>
      <c r="AC127" s="57"/>
      <c r="AD127" s="44"/>
      <c r="AE127" s="44"/>
      <c r="AF127" s="44"/>
      <c r="AG127" s="44"/>
      <c r="AH127" s="44"/>
      <c r="AI127" s="44"/>
    </row>
    <row r="128" spans="15:35" ht="19.5">
      <c r="O128" s="130"/>
      <c r="S128" s="53"/>
      <c r="T128" s="51"/>
      <c r="V128" s="54"/>
      <c r="AB128" s="56"/>
      <c r="AC128" s="57"/>
      <c r="AD128" s="44"/>
      <c r="AE128" s="44"/>
      <c r="AF128" s="44"/>
      <c r="AG128" s="44"/>
      <c r="AH128" s="44"/>
      <c r="AI128" s="44"/>
    </row>
    <row r="129" spans="15:35" ht="19.5">
      <c r="O129" s="130"/>
      <c r="S129" s="53"/>
      <c r="T129" s="51"/>
      <c r="V129" s="54"/>
      <c r="AB129" s="56"/>
      <c r="AC129" s="57"/>
      <c r="AD129" s="44"/>
      <c r="AE129" s="44"/>
      <c r="AF129" s="44"/>
      <c r="AG129" s="44"/>
      <c r="AH129" s="44"/>
      <c r="AI129" s="44"/>
    </row>
    <row r="130" spans="15:35" ht="19.5">
      <c r="O130" s="130"/>
      <c r="S130" s="53"/>
      <c r="T130" s="51"/>
      <c r="V130" s="54"/>
      <c r="AB130" s="56"/>
      <c r="AC130" s="57"/>
      <c r="AD130" s="44"/>
      <c r="AE130" s="44"/>
      <c r="AF130" s="44"/>
      <c r="AG130" s="44"/>
      <c r="AH130" s="44"/>
      <c r="AI130" s="44"/>
    </row>
    <row r="131" spans="15:35" ht="19.5">
      <c r="O131" s="130"/>
      <c r="S131" s="53"/>
      <c r="T131" s="51"/>
      <c r="V131" s="54"/>
      <c r="AB131" s="56"/>
      <c r="AC131" s="57"/>
      <c r="AD131" s="44"/>
      <c r="AE131" s="44"/>
      <c r="AF131" s="44"/>
      <c r="AG131" s="44"/>
      <c r="AH131" s="44"/>
      <c r="AI131" s="44"/>
    </row>
    <row r="132" spans="15:35" ht="19.5">
      <c r="O132" s="130"/>
      <c r="S132" s="53"/>
      <c r="T132" s="51"/>
      <c r="V132" s="54"/>
      <c r="AB132" s="56"/>
      <c r="AC132" s="57"/>
      <c r="AD132" s="44"/>
      <c r="AE132" s="44"/>
      <c r="AF132" s="44"/>
      <c r="AG132" s="44"/>
      <c r="AH132" s="44"/>
      <c r="AI132" s="44"/>
    </row>
    <row r="133" spans="15:35" ht="19.5">
      <c r="O133" s="130"/>
      <c r="S133" s="53"/>
      <c r="T133" s="51"/>
      <c r="V133" s="54"/>
      <c r="AB133" s="56"/>
      <c r="AC133" s="57"/>
      <c r="AD133" s="44"/>
      <c r="AE133" s="44"/>
      <c r="AF133" s="44"/>
      <c r="AG133" s="44"/>
      <c r="AH133" s="44"/>
      <c r="AI133" s="44"/>
    </row>
    <row r="134" spans="15:35" ht="19.5">
      <c r="O134" s="130"/>
      <c r="S134" s="53"/>
      <c r="T134" s="51"/>
      <c r="V134" s="54"/>
      <c r="AB134" s="56"/>
      <c r="AC134" s="57"/>
      <c r="AD134" s="44"/>
      <c r="AE134" s="44"/>
      <c r="AF134" s="44"/>
      <c r="AG134" s="44"/>
      <c r="AH134" s="44"/>
      <c r="AI134" s="44"/>
    </row>
    <row r="135" spans="15:35" ht="19.5">
      <c r="O135" s="130"/>
      <c r="S135" s="53"/>
      <c r="T135" s="51"/>
      <c r="V135" s="54"/>
      <c r="AB135" s="56"/>
      <c r="AC135" s="57"/>
      <c r="AD135" s="44"/>
      <c r="AE135" s="44"/>
      <c r="AF135" s="44"/>
      <c r="AG135" s="44"/>
      <c r="AH135" s="44"/>
      <c r="AI135" s="44"/>
    </row>
    <row r="136" spans="15:35" ht="19.5">
      <c r="O136" s="130"/>
      <c r="S136" s="53"/>
      <c r="T136" s="51"/>
      <c r="V136" s="54"/>
      <c r="AB136" s="56"/>
      <c r="AC136" s="57"/>
      <c r="AD136" s="44"/>
      <c r="AE136" s="44"/>
      <c r="AF136" s="44"/>
      <c r="AG136" s="44"/>
      <c r="AH136" s="44"/>
      <c r="AI136" s="44"/>
    </row>
    <row r="137" spans="15:35" ht="19.5">
      <c r="O137" s="130"/>
      <c r="S137" s="53"/>
      <c r="T137" s="51"/>
      <c r="V137" s="54"/>
      <c r="AB137" s="56"/>
      <c r="AC137" s="57"/>
      <c r="AD137" s="44"/>
      <c r="AE137" s="44"/>
      <c r="AF137" s="44"/>
      <c r="AG137" s="44"/>
      <c r="AH137" s="44"/>
      <c r="AI137" s="44"/>
    </row>
    <row r="138" spans="15:35" ht="19.5">
      <c r="O138" s="130"/>
      <c r="S138" s="53"/>
      <c r="T138" s="51"/>
      <c r="V138" s="54"/>
      <c r="AB138" s="56"/>
      <c r="AC138" s="57"/>
      <c r="AD138" s="44"/>
      <c r="AE138" s="44"/>
      <c r="AF138" s="44"/>
      <c r="AG138" s="44"/>
      <c r="AH138" s="44"/>
      <c r="AI138" s="44"/>
    </row>
    <row r="139" spans="15:35" ht="19.5">
      <c r="O139" s="130"/>
      <c r="S139" s="53"/>
      <c r="T139" s="51"/>
      <c r="V139" s="54"/>
      <c r="AB139" s="56"/>
      <c r="AC139" s="57"/>
      <c r="AD139" s="44"/>
      <c r="AE139" s="44"/>
      <c r="AF139" s="44"/>
      <c r="AG139" s="44"/>
      <c r="AH139" s="44"/>
      <c r="AI139" s="44"/>
    </row>
    <row r="140" spans="15:35" ht="19.5">
      <c r="O140" s="130"/>
      <c r="S140" s="53"/>
      <c r="T140" s="51"/>
      <c r="V140" s="54"/>
      <c r="AB140" s="56"/>
      <c r="AC140" s="57"/>
      <c r="AD140" s="44"/>
      <c r="AE140" s="44"/>
      <c r="AF140" s="44"/>
      <c r="AG140" s="44"/>
      <c r="AH140" s="44"/>
      <c r="AI140" s="44"/>
    </row>
    <row r="141" spans="15:35" ht="19.5">
      <c r="O141" s="130"/>
      <c r="S141" s="53"/>
      <c r="T141" s="51"/>
      <c r="V141" s="54"/>
      <c r="AB141" s="56"/>
      <c r="AC141" s="57"/>
      <c r="AD141" s="44"/>
      <c r="AE141" s="44"/>
      <c r="AF141" s="44"/>
      <c r="AG141" s="44"/>
      <c r="AH141" s="44"/>
      <c r="AI141" s="44"/>
    </row>
    <row r="142" spans="15:35" ht="19.5">
      <c r="O142" s="130"/>
      <c r="S142" s="53"/>
      <c r="T142" s="51"/>
      <c r="V142" s="54"/>
      <c r="AB142" s="56"/>
      <c r="AC142" s="57"/>
      <c r="AD142" s="44"/>
      <c r="AE142" s="44"/>
      <c r="AF142" s="44"/>
      <c r="AG142" s="44"/>
      <c r="AH142" s="44"/>
      <c r="AI142" s="44"/>
    </row>
    <row r="143" spans="15:35" ht="19.5">
      <c r="O143" s="130"/>
      <c r="S143" s="53"/>
      <c r="T143" s="51"/>
      <c r="V143" s="54"/>
      <c r="AB143" s="56"/>
      <c r="AC143" s="57"/>
      <c r="AD143" s="44"/>
      <c r="AE143" s="44"/>
      <c r="AF143" s="44"/>
      <c r="AG143" s="44"/>
      <c r="AH143" s="44"/>
      <c r="AI143" s="44"/>
    </row>
    <row r="144" spans="15:35" ht="19.5">
      <c r="O144" s="130"/>
      <c r="S144" s="53"/>
      <c r="T144" s="51"/>
      <c r="V144" s="54"/>
      <c r="AB144" s="56"/>
      <c r="AC144" s="57"/>
      <c r="AD144" s="44"/>
      <c r="AE144" s="44"/>
      <c r="AF144" s="44"/>
      <c r="AG144" s="44"/>
      <c r="AH144" s="44"/>
      <c r="AI144" s="44"/>
    </row>
    <row r="145" spans="15:35" ht="19.5">
      <c r="O145" s="130"/>
      <c r="S145" s="53"/>
      <c r="T145" s="51"/>
      <c r="V145" s="54"/>
      <c r="AB145" s="56"/>
      <c r="AC145" s="57"/>
      <c r="AD145" s="44"/>
      <c r="AE145" s="44"/>
      <c r="AF145" s="44"/>
      <c r="AG145" s="44"/>
      <c r="AH145" s="44"/>
      <c r="AI145" s="44"/>
    </row>
    <row r="146" spans="1:37" ht="18">
      <c r="A146" s="22"/>
      <c r="B146" s="22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AK146" s="60"/>
    </row>
  </sheetData>
  <sheetProtection/>
  <mergeCells count="13">
    <mergeCell ref="AJ4:AK4"/>
    <mergeCell ref="Y4:Z4"/>
    <mergeCell ref="T3:Z3"/>
    <mergeCell ref="AD4:AI4"/>
    <mergeCell ref="A87:B87"/>
    <mergeCell ref="A1:Q1"/>
    <mergeCell ref="A2:Q2"/>
    <mergeCell ref="A3:Q3"/>
    <mergeCell ref="AB1:AI1"/>
    <mergeCell ref="T1:Z1"/>
    <mergeCell ref="T2:Z2"/>
    <mergeCell ref="AB2:AI2"/>
    <mergeCell ref="AB3:AI3"/>
  </mergeCells>
  <printOptions/>
  <pageMargins left="0.17" right="0.15748031496062992" top="0.15748031496062992" bottom="0.15748031496062992" header="0.15748031496062992" footer="0.15748031496062992"/>
  <pageSetup horizontalDpi="600" verticalDpi="600" orientation="portrait" scale="57" r:id="rId1"/>
  <ignoredErrors>
    <ignoredError sqref="AB8 AB36:AB37 AB40 AB83:AB84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1"/>
  </sheetPr>
  <dimension ref="A1:F62"/>
  <sheetViews>
    <sheetView zoomScale="75" zoomScaleNormal="75" zoomScalePageLayoutView="0" workbookViewId="0" topLeftCell="A1">
      <selection activeCell="B26" sqref="B26"/>
    </sheetView>
  </sheetViews>
  <sheetFormatPr defaultColWidth="11.00390625" defaultRowHeight="15.75"/>
  <cols>
    <col min="1" max="1" width="13.375" style="2" customWidth="1"/>
    <col min="2" max="2" width="46.25390625" style="2" customWidth="1"/>
    <col min="3" max="3" width="16.125" style="2" customWidth="1"/>
    <col min="4" max="4" width="15.625" style="2" customWidth="1"/>
    <col min="5" max="5" width="16.50390625" style="2" customWidth="1"/>
    <col min="6" max="6" width="18.25390625" style="2" customWidth="1"/>
    <col min="7" max="16384" width="11.00390625" style="2" customWidth="1"/>
  </cols>
  <sheetData>
    <row r="1" spans="2:6" ht="19.5">
      <c r="B1" s="372" t="s">
        <v>197</v>
      </c>
      <c r="C1" s="373"/>
      <c r="D1" s="373"/>
      <c r="E1" s="373"/>
      <c r="F1" s="374"/>
    </row>
    <row r="2" spans="2:6" ht="19.5">
      <c r="B2" s="375" t="s">
        <v>24</v>
      </c>
      <c r="C2" s="376"/>
      <c r="D2" s="376"/>
      <c r="E2" s="376"/>
      <c r="F2" s="377"/>
    </row>
    <row r="3" spans="2:6" ht="18">
      <c r="B3" s="378" t="s">
        <v>297</v>
      </c>
      <c r="C3" s="379"/>
      <c r="D3" s="379"/>
      <c r="E3" s="379"/>
      <c r="F3" s="380"/>
    </row>
    <row r="4" ht="16.5" customHeight="1"/>
    <row r="5" spans="2:6" ht="18.75" thickBot="1">
      <c r="B5" s="3"/>
      <c r="C5" s="3"/>
      <c r="D5" s="3"/>
      <c r="E5" s="3"/>
      <c r="F5" s="3"/>
    </row>
    <row r="6" spans="1:6" ht="18.75" thickTop="1">
      <c r="A6" s="1"/>
      <c r="B6" s="230"/>
      <c r="C6" s="231"/>
      <c r="D6" s="231"/>
      <c r="E6" s="231"/>
      <c r="F6" s="232"/>
    </row>
    <row r="7" spans="1:6" ht="18">
      <c r="A7" s="1"/>
      <c r="B7" s="251" t="s">
        <v>122</v>
      </c>
      <c r="C7" s="381" t="s">
        <v>66</v>
      </c>
      <c r="D7" s="381"/>
      <c r="E7" s="233" t="s">
        <v>1</v>
      </c>
      <c r="F7" s="234" t="s">
        <v>0</v>
      </c>
    </row>
    <row r="8" spans="1:6" ht="18.75" thickBot="1">
      <c r="A8" s="1"/>
      <c r="B8" s="235"/>
      <c r="C8" s="236" t="s">
        <v>52</v>
      </c>
      <c r="D8" s="236" t="s">
        <v>27</v>
      </c>
      <c r="E8" s="236" t="s">
        <v>27</v>
      </c>
      <c r="F8" s="237"/>
    </row>
    <row r="9" spans="1:6" ht="18.75" thickTop="1">
      <c r="A9" s="1"/>
      <c r="B9" s="4"/>
      <c r="C9" s="3"/>
      <c r="D9" s="5"/>
      <c r="E9" s="3"/>
      <c r="F9" s="6"/>
    </row>
    <row r="10" spans="1:6" ht="18">
      <c r="A10" s="1" t="s">
        <v>219</v>
      </c>
      <c r="B10" s="4" t="s">
        <v>216</v>
      </c>
      <c r="C10" s="5">
        <v>0</v>
      </c>
      <c r="D10" s="5">
        <v>37320368</v>
      </c>
      <c r="E10" s="5">
        <v>213539484.8194839</v>
      </c>
      <c r="F10" s="7">
        <v>-176219116.8194839</v>
      </c>
    </row>
    <row r="11" spans="1:6" ht="18">
      <c r="A11" s="1" t="s">
        <v>220</v>
      </c>
      <c r="B11" s="4" t="s">
        <v>218</v>
      </c>
      <c r="C11" s="5">
        <v>3975568</v>
      </c>
      <c r="D11" s="5">
        <v>3975568</v>
      </c>
      <c r="E11" s="5">
        <v>3975568</v>
      </c>
      <c r="F11" s="7">
        <v>0</v>
      </c>
    </row>
    <row r="12" spans="1:6" ht="18">
      <c r="A12" s="1" t="s">
        <v>221</v>
      </c>
      <c r="B12" s="4" t="s">
        <v>214</v>
      </c>
      <c r="C12" s="5">
        <v>15866590</v>
      </c>
      <c r="D12" s="5">
        <v>193217152</v>
      </c>
      <c r="E12" s="5">
        <v>174681317</v>
      </c>
      <c r="F12" s="7">
        <v>18535835</v>
      </c>
    </row>
    <row r="13" spans="1:6" ht="18">
      <c r="A13" s="1" t="s">
        <v>222</v>
      </c>
      <c r="B13" s="4" t="s">
        <v>217</v>
      </c>
      <c r="C13" s="5">
        <v>44251338</v>
      </c>
      <c r="D13" s="5">
        <v>163605913</v>
      </c>
      <c r="E13" s="5">
        <v>0</v>
      </c>
      <c r="F13" s="7">
        <v>163605913</v>
      </c>
    </row>
    <row r="14" spans="1:6" ht="18">
      <c r="A14" s="1"/>
      <c r="B14" s="4" t="s">
        <v>223</v>
      </c>
      <c r="C14" s="5"/>
      <c r="D14" s="5">
        <v>0</v>
      </c>
      <c r="E14" s="5">
        <v>0</v>
      </c>
      <c r="F14" s="7">
        <v>0</v>
      </c>
    </row>
    <row r="15" spans="1:6" ht="18" hidden="1">
      <c r="A15" s="1"/>
      <c r="B15" s="4"/>
      <c r="C15" s="5"/>
      <c r="D15" s="5"/>
      <c r="E15" s="5"/>
      <c r="F15" s="7">
        <v>0</v>
      </c>
    </row>
    <row r="16" spans="1:6" ht="18.75" thickBot="1">
      <c r="A16" s="9">
        <v>401402403</v>
      </c>
      <c r="B16" s="249" t="s">
        <v>116</v>
      </c>
      <c r="C16" s="238">
        <v>64093496</v>
      </c>
      <c r="D16" s="238">
        <v>398119001</v>
      </c>
      <c r="E16" s="238">
        <v>392196369.8194839</v>
      </c>
      <c r="F16" s="239">
        <v>5922631.180516094</v>
      </c>
    </row>
    <row r="17" spans="1:6" ht="18.75" thickTop="1">
      <c r="A17" s="1"/>
      <c r="B17" s="12"/>
      <c r="C17" s="13"/>
      <c r="D17" s="13"/>
      <c r="E17" s="13"/>
      <c r="F17" s="14"/>
    </row>
    <row r="18" spans="1:6" ht="18">
      <c r="A18" s="1"/>
      <c r="B18" s="12"/>
      <c r="C18" s="13"/>
      <c r="D18" s="13"/>
      <c r="E18" s="13"/>
      <c r="F18" s="14"/>
    </row>
    <row r="19" spans="1:6" ht="18">
      <c r="A19" s="1" t="s">
        <v>117</v>
      </c>
      <c r="B19" s="4" t="s">
        <v>109</v>
      </c>
      <c r="C19" s="5">
        <v>34657876</v>
      </c>
      <c r="D19" s="5">
        <v>113499482</v>
      </c>
      <c r="E19" s="5">
        <v>125058536</v>
      </c>
      <c r="F19" s="7">
        <v>11559054</v>
      </c>
    </row>
    <row r="20" spans="1:6" ht="18">
      <c r="A20" s="1" t="s">
        <v>118</v>
      </c>
      <c r="B20" s="4" t="s">
        <v>110</v>
      </c>
      <c r="C20" s="5">
        <v>33024199</v>
      </c>
      <c r="D20" s="5">
        <v>38514250</v>
      </c>
      <c r="E20" s="5">
        <v>39176293</v>
      </c>
      <c r="F20" s="7">
        <v>662043</v>
      </c>
    </row>
    <row r="21" spans="1:6" ht="18">
      <c r="A21" s="1" t="s">
        <v>119</v>
      </c>
      <c r="B21" s="4" t="s">
        <v>111</v>
      </c>
      <c r="C21" s="5">
        <v>18206304</v>
      </c>
      <c r="D21" s="5">
        <v>32882243</v>
      </c>
      <c r="E21" s="5">
        <v>49304659</v>
      </c>
      <c r="F21" s="7">
        <v>16422416</v>
      </c>
    </row>
    <row r="22" spans="1:6" ht="18" hidden="1">
      <c r="A22" s="1"/>
      <c r="B22" s="4" t="s">
        <v>132</v>
      </c>
      <c r="C22" s="5"/>
      <c r="D22" s="5">
        <v>0</v>
      </c>
      <c r="E22" s="5">
        <v>0</v>
      </c>
      <c r="F22" s="7">
        <v>0</v>
      </c>
    </row>
    <row r="23" spans="1:6" ht="17.25" customHeight="1">
      <c r="A23" s="1">
        <v>508</v>
      </c>
      <c r="B23" s="15" t="s">
        <v>112</v>
      </c>
      <c r="C23" s="16">
        <v>0</v>
      </c>
      <c r="D23" s="16">
        <v>0</v>
      </c>
      <c r="E23" s="16">
        <v>0</v>
      </c>
      <c r="F23" s="245">
        <v>0</v>
      </c>
    </row>
    <row r="24" spans="1:6" ht="18">
      <c r="A24" s="1">
        <v>510</v>
      </c>
      <c r="B24" s="240" t="s">
        <v>148</v>
      </c>
      <c r="C24" s="241"/>
      <c r="D24" s="241">
        <v>0</v>
      </c>
      <c r="E24" s="241"/>
      <c r="F24" s="242">
        <v>0</v>
      </c>
    </row>
    <row r="25" spans="1:6" ht="18">
      <c r="A25" s="1"/>
      <c r="B25" s="250" t="s">
        <v>108</v>
      </c>
      <c r="C25" s="243">
        <v>85888379</v>
      </c>
      <c r="D25" s="243">
        <v>184895975</v>
      </c>
      <c r="E25" s="243">
        <v>213539488</v>
      </c>
      <c r="F25" s="244">
        <v>28643513</v>
      </c>
    </row>
    <row r="26" spans="1:6" ht="18">
      <c r="A26" s="1"/>
      <c r="B26" s="12"/>
      <c r="C26" s="13"/>
      <c r="D26" s="13"/>
      <c r="E26" s="13"/>
      <c r="F26" s="14"/>
    </row>
    <row r="27" spans="1:6" ht="18">
      <c r="A27" s="1"/>
      <c r="B27" s="4"/>
      <c r="C27" s="13"/>
      <c r="D27" s="13"/>
      <c r="E27" s="13"/>
      <c r="F27" s="14"/>
    </row>
    <row r="28" spans="1:6" ht="18">
      <c r="A28" s="1">
        <v>502</v>
      </c>
      <c r="B28" s="4" t="s">
        <v>26</v>
      </c>
      <c r="C28" s="5">
        <v>15446521.76</v>
      </c>
      <c r="D28" s="5">
        <v>61786086.04</v>
      </c>
      <c r="E28" s="5">
        <v>61786088</v>
      </c>
      <c r="F28" s="7">
        <v>1.9600000008940697</v>
      </c>
    </row>
    <row r="29" spans="1:6" ht="18">
      <c r="A29" s="1">
        <v>507</v>
      </c>
      <c r="B29" s="4" t="s">
        <v>68</v>
      </c>
      <c r="C29" s="16">
        <v>420067.73</v>
      </c>
      <c r="D29" s="5">
        <v>1680271.92</v>
      </c>
      <c r="E29" s="5">
        <v>1680272</v>
      </c>
      <c r="F29" s="7">
        <v>0.0800000000745058</v>
      </c>
    </row>
    <row r="30" spans="1:6" ht="18">
      <c r="A30" s="1"/>
      <c r="B30" s="4" t="s">
        <v>69</v>
      </c>
      <c r="C30" s="5">
        <v>0</v>
      </c>
      <c r="D30" s="5">
        <v>111214957</v>
      </c>
      <c r="E30" s="5">
        <v>111214957</v>
      </c>
      <c r="F30" s="7">
        <v>0</v>
      </c>
    </row>
    <row r="31" spans="1:6" ht="18">
      <c r="A31" s="1"/>
      <c r="B31" s="246" t="s">
        <v>113</v>
      </c>
      <c r="C31" s="243">
        <v>15866589.49</v>
      </c>
      <c r="D31" s="243">
        <v>174681314.96</v>
      </c>
      <c r="E31" s="243">
        <v>174681317</v>
      </c>
      <c r="F31" s="244">
        <v>2.0400000009685755</v>
      </c>
    </row>
    <row r="32" spans="1:6" ht="18">
      <c r="A32" s="1"/>
      <c r="B32" s="12"/>
      <c r="C32" s="13"/>
      <c r="D32" s="13"/>
      <c r="E32" s="13"/>
      <c r="F32" s="14"/>
    </row>
    <row r="33" spans="1:6" ht="18">
      <c r="A33" s="1"/>
      <c r="B33" s="4"/>
      <c r="C33" s="5"/>
      <c r="D33" s="5"/>
      <c r="E33" s="5"/>
      <c r="F33" s="8"/>
    </row>
    <row r="34" spans="1:6" ht="18.75" thickBot="1">
      <c r="A34" s="1"/>
      <c r="B34" s="249" t="s">
        <v>114</v>
      </c>
      <c r="C34" s="238">
        <v>101754968.49</v>
      </c>
      <c r="D34" s="238">
        <v>359577289.96000004</v>
      </c>
      <c r="E34" s="238">
        <v>388220805</v>
      </c>
      <c r="F34" s="247">
        <v>28643515.04</v>
      </c>
    </row>
    <row r="35" spans="1:6" ht="18.75" thickTop="1">
      <c r="A35" s="1"/>
      <c r="B35" s="12"/>
      <c r="C35" s="13"/>
      <c r="D35" s="13"/>
      <c r="E35" s="13"/>
      <c r="F35" s="14"/>
    </row>
    <row r="36" spans="1:6" ht="18">
      <c r="A36" s="1"/>
      <c r="B36" s="4"/>
      <c r="C36" s="5"/>
      <c r="D36" s="5"/>
      <c r="E36" s="5"/>
      <c r="F36" s="8"/>
    </row>
    <row r="37" spans="1:6" ht="18.75" thickBot="1">
      <c r="A37" s="1"/>
      <c r="B37" s="249" t="s">
        <v>115</v>
      </c>
      <c r="C37" s="238">
        <v>-41637040.489999995</v>
      </c>
      <c r="D37" s="238">
        <v>34566143.03999996</v>
      </c>
      <c r="E37" s="238">
        <v>3975564.819483876</v>
      </c>
      <c r="F37" s="247">
        <v>34566146.22051609</v>
      </c>
    </row>
    <row r="38" spans="1:6" ht="18.75" thickTop="1">
      <c r="A38" s="1"/>
      <c r="B38" s="12"/>
      <c r="C38" s="13"/>
      <c r="D38" s="13"/>
      <c r="E38" s="13"/>
      <c r="F38" s="14"/>
    </row>
    <row r="39" spans="1:6" ht="18">
      <c r="A39" s="1">
        <v>405</v>
      </c>
      <c r="B39" s="4" t="s">
        <v>49</v>
      </c>
      <c r="C39" s="139">
        <v>501047.85</v>
      </c>
      <c r="D39" s="221">
        <v>1533286.77</v>
      </c>
      <c r="E39" s="5">
        <v>0</v>
      </c>
      <c r="F39" s="7">
        <v>-1533286.77</v>
      </c>
    </row>
    <row r="40" spans="1:6" ht="18">
      <c r="A40" s="1"/>
      <c r="B40" s="4" t="s">
        <v>126</v>
      </c>
      <c r="C40" s="139">
        <v>0</v>
      </c>
      <c r="D40" s="221">
        <v>306753.5</v>
      </c>
      <c r="E40" s="5">
        <v>0</v>
      </c>
      <c r="F40" s="7">
        <v>-306753.5</v>
      </c>
    </row>
    <row r="41" spans="1:6" ht="18">
      <c r="A41" s="1">
        <v>408</v>
      </c>
      <c r="B41" s="4" t="s">
        <v>67</v>
      </c>
      <c r="C41" s="5">
        <v>24220.83</v>
      </c>
      <c r="D41" s="221">
        <v>96883.32</v>
      </c>
      <c r="E41" s="5">
        <v>0</v>
      </c>
      <c r="F41" s="7">
        <v>-96883.32</v>
      </c>
    </row>
    <row r="42" spans="1:6" ht="18">
      <c r="A42" s="1"/>
      <c r="B42" s="4"/>
      <c r="C42" s="5"/>
      <c r="D42" s="220"/>
      <c r="E42" s="5"/>
      <c r="F42" s="8"/>
    </row>
    <row r="43" spans="1:6" ht="18.75" thickBot="1">
      <c r="A43" s="1"/>
      <c r="B43" s="249" t="s">
        <v>262</v>
      </c>
      <c r="C43" s="238">
        <v>525268.6799999999</v>
      </c>
      <c r="D43" s="238">
        <v>1936923.59</v>
      </c>
      <c r="E43" s="238">
        <v>0</v>
      </c>
      <c r="F43" s="247">
        <v>-1936923.59</v>
      </c>
    </row>
    <row r="44" spans="1:6" ht="18.75" thickTop="1">
      <c r="A44" s="1"/>
      <c r="B44" s="4"/>
      <c r="C44" s="5"/>
      <c r="D44" s="5"/>
      <c r="E44" s="5"/>
      <c r="F44" s="8"/>
    </row>
    <row r="45" spans="1:6" ht="18.75" thickBot="1">
      <c r="A45" s="1"/>
      <c r="B45" s="249" t="s">
        <v>92</v>
      </c>
      <c r="C45" s="248">
        <v>-41111771.809999995</v>
      </c>
      <c r="D45" s="248">
        <v>36503066.629999965</v>
      </c>
      <c r="E45" s="248">
        <v>3975564.819483876</v>
      </c>
      <c r="F45" s="247">
        <v>36503069.8105161</v>
      </c>
    </row>
    <row r="46" spans="1:6" s="22" customFormat="1" ht="18.75" thickTop="1">
      <c r="A46" s="18"/>
      <c r="B46" s="19"/>
      <c r="C46" s="20"/>
      <c r="D46" s="20"/>
      <c r="E46" s="20"/>
      <c r="F46" s="21"/>
    </row>
    <row r="47" spans="1:6" s="22" customFormat="1" ht="18">
      <c r="A47" s="18"/>
      <c r="B47" s="19"/>
      <c r="C47" s="20"/>
      <c r="D47" s="20"/>
      <c r="E47" s="20"/>
      <c r="F47" s="21"/>
    </row>
    <row r="48" spans="1:6" s="22" customFormat="1" ht="18">
      <c r="A48" s="18"/>
      <c r="B48" s="19"/>
      <c r="C48" s="20"/>
      <c r="D48" s="20"/>
      <c r="E48" s="20"/>
      <c r="F48" s="21"/>
    </row>
    <row r="49" spans="1:6" s="22" customFormat="1" ht="18">
      <c r="A49" s="18"/>
      <c r="B49" s="23"/>
      <c r="C49" s="20"/>
      <c r="D49" s="20"/>
      <c r="E49" s="20"/>
      <c r="F49" s="21"/>
    </row>
    <row r="50" spans="1:6" ht="18">
      <c r="A50" s="1"/>
      <c r="B50" s="24"/>
      <c r="C50" s="13"/>
      <c r="D50" s="13"/>
      <c r="E50" s="13"/>
      <c r="F50" s="5"/>
    </row>
    <row r="51" spans="1:6" ht="18">
      <c r="A51" s="1"/>
      <c r="B51" s="3"/>
      <c r="C51" s="25"/>
      <c r="D51" s="25"/>
      <c r="F51" s="3"/>
    </row>
    <row r="52" spans="1:6" ht="18">
      <c r="A52" s="1"/>
      <c r="F52" s="3"/>
    </row>
    <row r="53" spans="1:6" ht="18">
      <c r="A53" s="1"/>
      <c r="F53" s="3"/>
    </row>
    <row r="54" spans="1:6" ht="18">
      <c r="A54" s="1"/>
      <c r="C54" s="25"/>
      <c r="D54" s="25"/>
      <c r="F54" s="3"/>
    </row>
    <row r="55" spans="1:6" ht="18">
      <c r="A55" s="1"/>
      <c r="F55" s="3"/>
    </row>
    <row r="56" spans="1:6" ht="18">
      <c r="A56" s="1"/>
      <c r="F56" s="3"/>
    </row>
    <row r="57" spans="1:6" ht="18">
      <c r="A57" s="1"/>
      <c r="F57" s="3"/>
    </row>
    <row r="58" spans="1:6" ht="18">
      <c r="A58" s="1"/>
      <c r="F58" s="3"/>
    </row>
    <row r="59" ht="18">
      <c r="A59" s="1"/>
    </row>
    <row r="60" ht="18">
      <c r="A60" s="1"/>
    </row>
    <row r="61" ht="18">
      <c r="A61" s="1"/>
    </row>
    <row r="62" ht="18">
      <c r="A62" s="1"/>
    </row>
  </sheetData>
  <sheetProtection/>
  <mergeCells count="4">
    <mergeCell ref="B1:F1"/>
    <mergeCell ref="B2:F2"/>
    <mergeCell ref="B3:F3"/>
    <mergeCell ref="C7:D7"/>
  </mergeCells>
  <printOptions horizontalCentered="1"/>
  <pageMargins left="0.17" right="0.17" top="0.43" bottom="1" header="0.83" footer="0"/>
  <pageSetup horizontalDpi="600" verticalDpi="600" orientation="portrait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B1:AB56"/>
  <sheetViews>
    <sheetView tabSelected="1" zoomScale="75" zoomScaleNormal="75" zoomScalePageLayoutView="0" workbookViewId="0" topLeftCell="V1">
      <selection activeCell="V3" sqref="V3"/>
    </sheetView>
  </sheetViews>
  <sheetFormatPr defaultColWidth="11.00390625" defaultRowHeight="15.75"/>
  <cols>
    <col min="1" max="1" width="11.00390625" style="2" customWidth="1"/>
    <col min="2" max="2" width="31.25390625" style="2" customWidth="1"/>
    <col min="3" max="3" width="15.25390625" style="2" customWidth="1"/>
    <col min="4" max="4" width="14.625" style="2" customWidth="1"/>
    <col min="5" max="5" width="16.50390625" style="2" customWidth="1"/>
    <col min="6" max="6" width="15.25390625" style="2" customWidth="1"/>
    <col min="7" max="7" width="16.50390625" style="2" customWidth="1"/>
    <col min="8" max="8" width="11.00390625" style="26" customWidth="1"/>
    <col min="9" max="9" width="31.25390625" style="2" customWidth="1"/>
    <col min="10" max="10" width="15.25390625" style="2" customWidth="1"/>
    <col min="11" max="11" width="14.625" style="2" customWidth="1"/>
    <col min="12" max="12" width="16.50390625" style="2" customWidth="1"/>
    <col min="13" max="13" width="15.25390625" style="2" customWidth="1"/>
    <col min="14" max="14" width="16.50390625" style="2" customWidth="1"/>
    <col min="15" max="15" width="11.00390625" style="2" customWidth="1"/>
    <col min="16" max="16" width="31.25390625" style="2" customWidth="1"/>
    <col min="17" max="17" width="15.25390625" style="2" customWidth="1"/>
    <col min="18" max="18" width="14.625" style="2" customWidth="1"/>
    <col min="19" max="19" width="16.50390625" style="2" customWidth="1"/>
    <col min="20" max="20" width="15.25390625" style="2" customWidth="1"/>
    <col min="21" max="21" width="16.50390625" style="2" customWidth="1"/>
    <col min="22" max="22" width="11.00390625" style="2" customWidth="1"/>
    <col min="23" max="23" width="31.25390625" style="2" customWidth="1"/>
    <col min="24" max="24" width="15.25390625" style="2" customWidth="1"/>
    <col min="25" max="25" width="14.625" style="2" customWidth="1"/>
    <col min="26" max="26" width="16.50390625" style="2" customWidth="1"/>
    <col min="27" max="27" width="15.25390625" style="2" customWidth="1"/>
    <col min="28" max="28" width="16.50390625" style="2" customWidth="1"/>
    <col min="29" max="16384" width="11.00390625" style="2" customWidth="1"/>
  </cols>
  <sheetData>
    <row r="1" spans="2:28" s="61" customFormat="1" ht="18">
      <c r="B1" s="382" t="s">
        <v>197</v>
      </c>
      <c r="C1" s="383"/>
      <c r="D1" s="383"/>
      <c r="E1" s="383"/>
      <c r="F1" s="383"/>
      <c r="G1" s="384"/>
      <c r="H1" s="85"/>
      <c r="I1" s="382" t="s">
        <v>197</v>
      </c>
      <c r="J1" s="383"/>
      <c r="K1" s="383"/>
      <c r="L1" s="383"/>
      <c r="M1" s="383"/>
      <c r="N1" s="384"/>
      <c r="P1" s="391" t="s">
        <v>197</v>
      </c>
      <c r="Q1" s="392"/>
      <c r="R1" s="392"/>
      <c r="S1" s="392"/>
      <c r="T1" s="392"/>
      <c r="U1" s="393"/>
      <c r="W1" s="391" t="s">
        <v>197</v>
      </c>
      <c r="X1" s="392"/>
      <c r="Y1" s="392"/>
      <c r="Z1" s="392"/>
      <c r="AA1" s="392"/>
      <c r="AB1" s="393"/>
    </row>
    <row r="2" spans="2:28" ht="18">
      <c r="B2" s="385" t="s">
        <v>28</v>
      </c>
      <c r="C2" s="386"/>
      <c r="D2" s="386"/>
      <c r="E2" s="386"/>
      <c r="F2" s="386"/>
      <c r="G2" s="387"/>
      <c r="I2" s="385" t="s">
        <v>28</v>
      </c>
      <c r="J2" s="386"/>
      <c r="K2" s="386"/>
      <c r="L2" s="386"/>
      <c r="M2" s="386"/>
      <c r="N2" s="387"/>
      <c r="P2" s="394" t="s">
        <v>28</v>
      </c>
      <c r="Q2" s="395"/>
      <c r="R2" s="395"/>
      <c r="S2" s="395"/>
      <c r="T2" s="395"/>
      <c r="U2" s="396"/>
      <c r="W2" s="394" t="s">
        <v>28</v>
      </c>
      <c r="X2" s="395"/>
      <c r="Y2" s="395"/>
      <c r="Z2" s="395"/>
      <c r="AA2" s="395"/>
      <c r="AB2" s="396"/>
    </row>
    <row r="3" spans="2:28" ht="18.75" thickBot="1">
      <c r="B3" s="388" t="s">
        <v>281</v>
      </c>
      <c r="C3" s="389"/>
      <c r="D3" s="389"/>
      <c r="E3" s="389"/>
      <c r="F3" s="389"/>
      <c r="G3" s="390"/>
      <c r="I3" s="388" t="s">
        <v>284</v>
      </c>
      <c r="J3" s="389"/>
      <c r="K3" s="389"/>
      <c r="L3" s="389"/>
      <c r="M3" s="389"/>
      <c r="N3" s="390"/>
      <c r="P3" s="397" t="s">
        <v>289</v>
      </c>
      <c r="Q3" s="398"/>
      <c r="R3" s="398"/>
      <c r="S3" s="398"/>
      <c r="T3" s="398"/>
      <c r="U3" s="399"/>
      <c r="W3" s="397" t="s">
        <v>298</v>
      </c>
      <c r="X3" s="398"/>
      <c r="Y3" s="398"/>
      <c r="Z3" s="398"/>
      <c r="AA3" s="398"/>
      <c r="AB3" s="399"/>
    </row>
    <row r="4" spans="2:28" ht="18">
      <c r="B4" s="62"/>
      <c r="C4" s="62"/>
      <c r="D4" s="63"/>
      <c r="E4" s="63"/>
      <c r="F4" s="62"/>
      <c r="G4" s="62"/>
      <c r="I4" s="62"/>
      <c r="J4" s="62"/>
      <c r="K4" s="63"/>
      <c r="L4" s="63"/>
      <c r="M4" s="62"/>
      <c r="N4" s="62"/>
      <c r="P4" s="62"/>
      <c r="Q4" s="62"/>
      <c r="R4" s="63"/>
      <c r="S4" s="63"/>
      <c r="T4" s="62"/>
      <c r="U4" s="62"/>
      <c r="W4" s="62"/>
      <c r="X4" s="62"/>
      <c r="Y4" s="63"/>
      <c r="Z4" s="63"/>
      <c r="AA4" s="62"/>
      <c r="AB4" s="62"/>
    </row>
    <row r="5" spans="2:28" ht="36" customHeight="1" thickBot="1">
      <c r="B5" s="64" t="s">
        <v>25</v>
      </c>
      <c r="C5" s="65" t="s">
        <v>29</v>
      </c>
      <c r="D5" s="65" t="s">
        <v>30</v>
      </c>
      <c r="E5" s="129" t="s">
        <v>189</v>
      </c>
      <c r="F5" s="65" t="s">
        <v>30</v>
      </c>
      <c r="G5" s="157" t="s">
        <v>190</v>
      </c>
      <c r="I5" s="64" t="s">
        <v>25</v>
      </c>
      <c r="J5" s="65" t="s">
        <v>45</v>
      </c>
      <c r="K5" s="65" t="s">
        <v>29</v>
      </c>
      <c r="L5" s="129" t="s">
        <v>189</v>
      </c>
      <c r="M5" s="65" t="s">
        <v>30</v>
      </c>
      <c r="N5" s="157" t="s">
        <v>190</v>
      </c>
      <c r="P5" s="252" t="s">
        <v>25</v>
      </c>
      <c r="Q5" s="253" t="s">
        <v>46</v>
      </c>
      <c r="R5" s="253" t="s">
        <v>45</v>
      </c>
      <c r="S5" s="254" t="s">
        <v>189</v>
      </c>
      <c r="T5" s="253" t="s">
        <v>30</v>
      </c>
      <c r="U5" s="255" t="s">
        <v>190</v>
      </c>
      <c r="W5" s="252" t="s">
        <v>25</v>
      </c>
      <c r="X5" s="253" t="s">
        <v>50</v>
      </c>
      <c r="Y5" s="253" t="s">
        <v>46</v>
      </c>
      <c r="Z5" s="254" t="s">
        <v>189</v>
      </c>
      <c r="AA5" s="253" t="s">
        <v>30</v>
      </c>
      <c r="AB5" s="255" t="s">
        <v>190</v>
      </c>
    </row>
    <row r="6" spans="2:28" ht="18.75" thickTop="1">
      <c r="B6" s="66" t="s">
        <v>33</v>
      </c>
      <c r="C6" s="5">
        <v>544924.71</v>
      </c>
      <c r="D6" s="5">
        <v>214925</v>
      </c>
      <c r="E6" s="67">
        <f aca="true" t="shared" si="0" ref="E6:E12">+D6-C6</f>
        <v>-329999.70999999996</v>
      </c>
      <c r="F6" s="5">
        <v>214925</v>
      </c>
      <c r="G6" s="158">
        <f>+F6-C6</f>
        <v>-329999.70999999996</v>
      </c>
      <c r="I6" s="66" t="s">
        <v>33</v>
      </c>
      <c r="J6" s="5">
        <v>544924.71</v>
      </c>
      <c r="K6" s="5">
        <v>544924.71</v>
      </c>
      <c r="L6" s="67">
        <f aca="true" t="shared" si="1" ref="L6:L12">+K6-J6</f>
        <v>0</v>
      </c>
      <c r="M6" s="5">
        <v>214925</v>
      </c>
      <c r="N6" s="158">
        <f>+M6-J6</f>
        <v>-329999.70999999996</v>
      </c>
      <c r="P6" s="66" t="s">
        <v>33</v>
      </c>
      <c r="Q6" s="5">
        <v>553924.71</v>
      </c>
      <c r="R6" s="5">
        <v>544924.71</v>
      </c>
      <c r="S6" s="67">
        <f aca="true" t="shared" si="2" ref="S6:S12">+R6-Q6</f>
        <v>-9000</v>
      </c>
      <c r="T6" s="5">
        <v>214925</v>
      </c>
      <c r="U6" s="158">
        <f>+T6-Q6</f>
        <v>-338999.70999999996</v>
      </c>
      <c r="W6" s="66" t="s">
        <v>33</v>
      </c>
      <c r="X6" s="5">
        <v>568924.71</v>
      </c>
      <c r="Y6" s="5">
        <v>553924.71</v>
      </c>
      <c r="Z6" s="67">
        <v>-15000</v>
      </c>
      <c r="AA6" s="5">
        <v>214925</v>
      </c>
      <c r="AB6" s="158">
        <v>-353999.70999999996</v>
      </c>
    </row>
    <row r="7" spans="2:28" ht="18">
      <c r="B7" s="66" t="s">
        <v>31</v>
      </c>
      <c r="C7" s="5">
        <v>67955649.37</v>
      </c>
      <c r="D7" s="5">
        <v>21764275</v>
      </c>
      <c r="E7" s="67">
        <f t="shared" si="0"/>
        <v>-46191374.370000005</v>
      </c>
      <c r="F7" s="5">
        <v>21764275</v>
      </c>
      <c r="G7" s="158">
        <f>+F7-C7</f>
        <v>-46191374.370000005</v>
      </c>
      <c r="I7" s="66" t="s">
        <v>31</v>
      </c>
      <c r="J7" s="5">
        <v>105835219.4</v>
      </c>
      <c r="K7" s="5">
        <v>67955649.37</v>
      </c>
      <c r="L7" s="67">
        <f t="shared" si="1"/>
        <v>-37879570.03</v>
      </c>
      <c r="M7" s="5">
        <v>21764275</v>
      </c>
      <c r="N7" s="158">
        <f>+M7-J7</f>
        <v>-84070944.4</v>
      </c>
      <c r="P7" s="66" t="s">
        <v>31</v>
      </c>
      <c r="Q7" s="5">
        <v>150129574.46</v>
      </c>
      <c r="R7" s="5">
        <v>105835219.4</v>
      </c>
      <c r="S7" s="67">
        <f t="shared" si="2"/>
        <v>-44294355.06</v>
      </c>
      <c r="T7" s="5">
        <v>21764275</v>
      </c>
      <c r="U7" s="158">
        <f>+T7-Q7</f>
        <v>-128365299.46000001</v>
      </c>
      <c r="W7" s="66" t="s">
        <v>31</v>
      </c>
      <c r="X7" s="5">
        <v>96582343.33</v>
      </c>
      <c r="Y7" s="5">
        <v>150129574.46</v>
      </c>
      <c r="Z7" s="67">
        <v>53547231.13000001</v>
      </c>
      <c r="AA7" s="5">
        <v>21764275</v>
      </c>
      <c r="AB7" s="158">
        <v>-74818068.33</v>
      </c>
    </row>
    <row r="8" spans="2:28" ht="18" hidden="1">
      <c r="B8" s="66" t="s">
        <v>32</v>
      </c>
      <c r="C8" s="5">
        <v>0</v>
      </c>
      <c r="D8" s="5"/>
      <c r="E8" s="67">
        <f t="shared" si="0"/>
        <v>0</v>
      </c>
      <c r="F8" s="5"/>
      <c r="G8" s="158">
        <f>+F8-C8</f>
        <v>0</v>
      </c>
      <c r="I8" s="66" t="s">
        <v>32</v>
      </c>
      <c r="J8" s="5">
        <v>0</v>
      </c>
      <c r="K8" s="5">
        <v>0</v>
      </c>
      <c r="L8" s="67">
        <f t="shared" si="1"/>
        <v>0</v>
      </c>
      <c r="M8" s="5"/>
      <c r="N8" s="158">
        <f>+M8-J8</f>
        <v>0</v>
      </c>
      <c r="P8" s="66" t="s">
        <v>32</v>
      </c>
      <c r="Q8" s="5">
        <v>0</v>
      </c>
      <c r="R8" s="5">
        <v>0</v>
      </c>
      <c r="S8" s="67">
        <f t="shared" si="2"/>
        <v>0</v>
      </c>
      <c r="T8" s="5"/>
      <c r="U8" s="158">
        <f>+T8-Q8</f>
        <v>0</v>
      </c>
      <c r="W8" s="66" t="s">
        <v>32</v>
      </c>
      <c r="X8" s="5">
        <v>0</v>
      </c>
      <c r="Y8" s="5">
        <v>0</v>
      </c>
      <c r="Z8" s="67">
        <v>0</v>
      </c>
      <c r="AA8" s="5"/>
      <c r="AB8" s="158">
        <v>0</v>
      </c>
    </row>
    <row r="9" spans="2:28" ht="18">
      <c r="B9" s="66" t="s">
        <v>34</v>
      </c>
      <c r="C9" s="5">
        <v>22343516.29</v>
      </c>
      <c r="D9" s="5">
        <v>61284652</v>
      </c>
      <c r="E9" s="67">
        <f t="shared" si="0"/>
        <v>38941135.71</v>
      </c>
      <c r="F9" s="5">
        <v>61284652</v>
      </c>
      <c r="G9" s="158">
        <f>+F9-C9-1</f>
        <v>38941134.71</v>
      </c>
      <c r="I9" s="66" t="s">
        <v>34</v>
      </c>
      <c r="J9" s="5">
        <v>2563362.08</v>
      </c>
      <c r="K9" s="5">
        <v>22343516.29</v>
      </c>
      <c r="L9" s="67">
        <f t="shared" si="1"/>
        <v>19780154.21</v>
      </c>
      <c r="M9" s="5">
        <v>61284652</v>
      </c>
      <c r="N9" s="158">
        <f>+M9-J9-1</f>
        <v>58721288.92</v>
      </c>
      <c r="P9" s="66" t="s">
        <v>34</v>
      </c>
      <c r="Q9" s="5">
        <v>3143087.63</v>
      </c>
      <c r="R9" s="5">
        <v>2563362.08</v>
      </c>
      <c r="S9" s="67">
        <f t="shared" si="2"/>
        <v>-579725.5499999998</v>
      </c>
      <c r="T9" s="5">
        <v>61284652</v>
      </c>
      <c r="U9" s="158">
        <f>+T9-Q9-1</f>
        <v>58141563.37</v>
      </c>
      <c r="W9" s="66" t="s">
        <v>34</v>
      </c>
      <c r="X9" s="5">
        <v>2897947.61</v>
      </c>
      <c r="Y9" s="5">
        <v>3143087.63</v>
      </c>
      <c r="Z9" s="67">
        <v>245140.02000000002</v>
      </c>
      <c r="AA9" s="5">
        <v>61284652</v>
      </c>
      <c r="AB9" s="158">
        <v>58386703.39</v>
      </c>
    </row>
    <row r="10" spans="2:28" ht="18" hidden="1">
      <c r="B10" s="66" t="s">
        <v>35</v>
      </c>
      <c r="C10" s="67">
        <v>0</v>
      </c>
      <c r="D10" s="67"/>
      <c r="E10" s="67">
        <f t="shared" si="0"/>
        <v>0</v>
      </c>
      <c r="F10" s="67"/>
      <c r="G10" s="158">
        <f>+F10-C10</f>
        <v>0</v>
      </c>
      <c r="I10" s="66" t="s">
        <v>35</v>
      </c>
      <c r="J10" s="67">
        <v>0</v>
      </c>
      <c r="K10" s="67">
        <v>0</v>
      </c>
      <c r="L10" s="67">
        <f t="shared" si="1"/>
        <v>0</v>
      </c>
      <c r="M10" s="67"/>
      <c r="N10" s="158">
        <f>+M10-J10</f>
        <v>0</v>
      </c>
      <c r="P10" s="66" t="s">
        <v>35</v>
      </c>
      <c r="Q10" s="67">
        <v>0</v>
      </c>
      <c r="R10" s="67">
        <v>0</v>
      </c>
      <c r="S10" s="67">
        <f t="shared" si="2"/>
        <v>0</v>
      </c>
      <c r="T10" s="67"/>
      <c r="U10" s="158">
        <f>+T10-Q10</f>
        <v>0</v>
      </c>
      <c r="W10" s="66" t="s">
        <v>35</v>
      </c>
      <c r="X10" s="67">
        <v>0</v>
      </c>
      <c r="Y10" s="67">
        <v>0</v>
      </c>
      <c r="Z10" s="67">
        <v>0</v>
      </c>
      <c r="AA10" s="67"/>
      <c r="AB10" s="158">
        <v>0</v>
      </c>
    </row>
    <row r="11" spans="2:28" ht="18" hidden="1">
      <c r="B11" s="66" t="s">
        <v>63</v>
      </c>
      <c r="C11" s="67">
        <v>0</v>
      </c>
      <c r="D11" s="67"/>
      <c r="E11" s="67">
        <f t="shared" si="0"/>
        <v>0</v>
      </c>
      <c r="F11" s="67"/>
      <c r="G11" s="158">
        <f>+F11-C11</f>
        <v>0</v>
      </c>
      <c r="I11" s="66" t="s">
        <v>63</v>
      </c>
      <c r="J11" s="67">
        <v>0</v>
      </c>
      <c r="K11" s="67">
        <v>0</v>
      </c>
      <c r="L11" s="67">
        <f t="shared" si="1"/>
        <v>0</v>
      </c>
      <c r="M11" s="67"/>
      <c r="N11" s="158">
        <f>+M11-J11</f>
        <v>0</v>
      </c>
      <c r="P11" s="66" t="s">
        <v>63</v>
      </c>
      <c r="Q11" s="67">
        <v>0</v>
      </c>
      <c r="R11" s="67">
        <v>0</v>
      </c>
      <c r="S11" s="67">
        <f t="shared" si="2"/>
        <v>0</v>
      </c>
      <c r="T11" s="67"/>
      <c r="U11" s="158">
        <f>+T11-Q11</f>
        <v>0</v>
      </c>
      <c r="W11" s="66" t="s">
        <v>63</v>
      </c>
      <c r="X11" s="67">
        <v>0</v>
      </c>
      <c r="Y11" s="67">
        <v>0</v>
      </c>
      <c r="Z11" s="67">
        <v>0</v>
      </c>
      <c r="AA11" s="67"/>
      <c r="AB11" s="158">
        <v>0</v>
      </c>
    </row>
    <row r="12" spans="2:28" ht="18">
      <c r="B12" s="66" t="s">
        <v>237</v>
      </c>
      <c r="C12" s="67">
        <v>58248.67</v>
      </c>
      <c r="D12" s="67">
        <v>3153</v>
      </c>
      <c r="E12" s="67">
        <f t="shared" si="0"/>
        <v>-55095.67</v>
      </c>
      <c r="F12" s="67">
        <v>3153</v>
      </c>
      <c r="G12" s="158">
        <f>+F12-C12</f>
        <v>-55095.67</v>
      </c>
      <c r="I12" s="66" t="s">
        <v>237</v>
      </c>
      <c r="J12" s="67">
        <v>741227.96</v>
      </c>
      <c r="K12" s="67">
        <v>58248.67</v>
      </c>
      <c r="L12" s="67">
        <f t="shared" si="1"/>
        <v>-682979.2899999999</v>
      </c>
      <c r="M12" s="67">
        <v>3153</v>
      </c>
      <c r="N12" s="158">
        <f>+M12-J12</f>
        <v>-738074.96</v>
      </c>
      <c r="P12" s="66" t="s">
        <v>237</v>
      </c>
      <c r="Q12" s="5">
        <v>595391.05</v>
      </c>
      <c r="R12" s="5">
        <v>741227.96</v>
      </c>
      <c r="S12" s="5">
        <f t="shared" si="2"/>
        <v>145836.90999999992</v>
      </c>
      <c r="T12" s="5">
        <v>3153</v>
      </c>
      <c r="U12" s="158">
        <f>+T12-Q12</f>
        <v>-592238.05</v>
      </c>
      <c r="W12" s="66" t="s">
        <v>237</v>
      </c>
      <c r="X12" s="5">
        <v>608897.79</v>
      </c>
      <c r="Y12" s="5">
        <v>595391.05</v>
      </c>
      <c r="Z12" s="67">
        <v>-13506.73999999999</v>
      </c>
      <c r="AA12" s="5">
        <v>3153</v>
      </c>
      <c r="AB12" s="158">
        <v>-605744.79</v>
      </c>
    </row>
    <row r="13" spans="2:28" ht="18.75" thickBot="1">
      <c r="B13" s="68" t="s">
        <v>102</v>
      </c>
      <c r="C13" s="17">
        <f>SUM(C6:C12)</f>
        <v>90902339.04</v>
      </c>
      <c r="D13" s="17">
        <f>SUM(D6:D12)</f>
        <v>83267005</v>
      </c>
      <c r="E13" s="76">
        <f>SUM(E6:E12)</f>
        <v>-7635334.040000005</v>
      </c>
      <c r="F13" s="17">
        <f>SUM(F6:F12)</f>
        <v>83267005</v>
      </c>
      <c r="G13" s="160">
        <f>SUM(G6:G12)+1</f>
        <v>-7635334.040000005</v>
      </c>
      <c r="I13" s="68" t="s">
        <v>102</v>
      </c>
      <c r="J13" s="17">
        <f>SUM(J6:J12)</f>
        <v>109684734.14999999</v>
      </c>
      <c r="K13" s="17">
        <f>SUM(K6:K12)</f>
        <v>90902339.04</v>
      </c>
      <c r="L13" s="76">
        <f>SUM(L6:L12)</f>
        <v>-18782395.11</v>
      </c>
      <c r="M13" s="17">
        <f>SUM(M6:M12)</f>
        <v>83267005</v>
      </c>
      <c r="N13" s="160">
        <f>SUM(N6:N12)+1</f>
        <v>-26417729.15</v>
      </c>
      <c r="P13" s="262" t="s">
        <v>102</v>
      </c>
      <c r="Q13" s="263">
        <f>SUM(Q6:Q12)</f>
        <v>154421977.85000002</v>
      </c>
      <c r="R13" s="263">
        <f>SUM(R6:R12)</f>
        <v>109684734.14999999</v>
      </c>
      <c r="S13" s="264">
        <f>SUM(S6:S12)</f>
        <v>-44737243.7</v>
      </c>
      <c r="T13" s="263">
        <f>SUM(T6:T12)</f>
        <v>83267005</v>
      </c>
      <c r="U13" s="265">
        <f>SUM(U6:U12)+1</f>
        <v>-71154972.85000001</v>
      </c>
      <c r="W13" s="262" t="s">
        <v>102</v>
      </c>
      <c r="X13" s="263">
        <v>100658113.44</v>
      </c>
      <c r="Y13" s="263">
        <v>154421977.85000002</v>
      </c>
      <c r="Z13" s="264">
        <v>53763864.41000001</v>
      </c>
      <c r="AA13" s="263">
        <v>83267005</v>
      </c>
      <c r="AB13" s="265">
        <v>-17391108.43999999</v>
      </c>
    </row>
    <row r="14" spans="2:28" ht="18.75" thickTop="1">
      <c r="B14" s="70"/>
      <c r="C14" s="13"/>
      <c r="D14" s="13"/>
      <c r="E14" s="71"/>
      <c r="F14" s="13"/>
      <c r="G14" s="14"/>
      <c r="I14" s="70"/>
      <c r="J14" s="13"/>
      <c r="K14" s="13"/>
      <c r="L14" s="71"/>
      <c r="M14" s="13"/>
      <c r="N14" s="14"/>
      <c r="P14" s="70"/>
      <c r="Q14" s="13"/>
      <c r="R14" s="13"/>
      <c r="S14" s="71"/>
      <c r="T14" s="13"/>
      <c r="U14" s="14"/>
      <c r="W14" s="70"/>
      <c r="X14" s="13"/>
      <c r="Y14" s="13"/>
      <c r="Z14" s="71"/>
      <c r="AA14" s="13"/>
      <c r="AB14" s="14"/>
    </row>
    <row r="15" spans="2:28" ht="18">
      <c r="B15" s="66"/>
      <c r="C15" s="5"/>
      <c r="D15" s="5"/>
      <c r="E15" s="31"/>
      <c r="F15" s="5"/>
      <c r="G15" s="8"/>
      <c r="I15" s="66"/>
      <c r="J15" s="5"/>
      <c r="K15" s="5"/>
      <c r="L15" s="31"/>
      <c r="M15" s="5"/>
      <c r="N15" s="8"/>
      <c r="P15" s="66"/>
      <c r="Q15" s="5"/>
      <c r="R15" s="5"/>
      <c r="S15" s="31"/>
      <c r="T15" s="5"/>
      <c r="U15" s="8"/>
      <c r="W15" s="66"/>
      <c r="X15" s="5"/>
      <c r="Y15" s="5"/>
      <c r="Z15" s="31"/>
      <c r="AA15" s="5"/>
      <c r="AB15" s="8"/>
    </row>
    <row r="16" spans="2:28" ht="18">
      <c r="B16" s="66" t="s">
        <v>36</v>
      </c>
      <c r="C16" s="5">
        <v>5063786.43</v>
      </c>
      <c r="D16" s="5">
        <v>5048787</v>
      </c>
      <c r="E16" s="67">
        <f aca="true" t="shared" si="3" ref="E16:E22">+D16-C16</f>
        <v>-14999.429999999702</v>
      </c>
      <c r="F16" s="5">
        <v>5048787</v>
      </c>
      <c r="G16" s="158">
        <f aca="true" t="shared" si="4" ref="G16:G22">+F16-C16</f>
        <v>-14999.429999999702</v>
      </c>
      <c r="I16" s="66" t="s">
        <v>36</v>
      </c>
      <c r="J16" s="5">
        <v>5066094.83</v>
      </c>
      <c r="K16" s="5">
        <v>5063786.43</v>
      </c>
      <c r="L16" s="67">
        <f aca="true" t="shared" si="5" ref="L16:L22">+K16-J16</f>
        <v>-2308.4000000003725</v>
      </c>
      <c r="M16" s="5">
        <v>5048787</v>
      </c>
      <c r="N16" s="158">
        <f aca="true" t="shared" si="6" ref="N16:N22">+M16-J16</f>
        <v>-17307.830000000075</v>
      </c>
      <c r="P16" s="66" t="s">
        <v>36</v>
      </c>
      <c r="Q16" s="5">
        <v>5094864.04</v>
      </c>
      <c r="R16" s="5">
        <v>5066094.83</v>
      </c>
      <c r="S16" s="67">
        <f aca="true" t="shared" si="7" ref="S16:S22">+R16-Q16</f>
        <v>-28769.209999999963</v>
      </c>
      <c r="T16" s="5">
        <v>5048787</v>
      </c>
      <c r="U16" s="158">
        <f aca="true" t="shared" si="8" ref="U16:U22">+T16-Q16</f>
        <v>-46077.04000000004</v>
      </c>
      <c r="W16" s="66" t="s">
        <v>36</v>
      </c>
      <c r="X16" s="5">
        <v>5384893.74</v>
      </c>
      <c r="Y16" s="5">
        <v>5094864.04</v>
      </c>
      <c r="Z16" s="67">
        <v>-290029.7000000002</v>
      </c>
      <c r="AA16" s="5">
        <v>5048787</v>
      </c>
      <c r="AB16" s="158">
        <v>-336106.7400000002</v>
      </c>
    </row>
    <row r="17" spans="2:28" ht="18">
      <c r="B17" s="66" t="s">
        <v>37</v>
      </c>
      <c r="C17" s="5">
        <v>2796941.33</v>
      </c>
      <c r="D17" s="5">
        <v>2796941</v>
      </c>
      <c r="E17" s="67">
        <f t="shared" si="3"/>
        <v>-0.3300000000745058</v>
      </c>
      <c r="F17" s="5">
        <v>2796941</v>
      </c>
      <c r="G17" s="158">
        <f t="shared" si="4"/>
        <v>-0.3300000000745058</v>
      </c>
      <c r="I17" s="66" t="s">
        <v>37</v>
      </c>
      <c r="J17" s="5">
        <v>2796941.33</v>
      </c>
      <c r="K17" s="5">
        <v>2796941.33</v>
      </c>
      <c r="L17" s="67">
        <f t="shared" si="5"/>
        <v>0</v>
      </c>
      <c r="M17" s="5">
        <v>2796941</v>
      </c>
      <c r="N17" s="158">
        <f t="shared" si="6"/>
        <v>-0.3300000000745058</v>
      </c>
      <c r="P17" s="66" t="s">
        <v>37</v>
      </c>
      <c r="Q17" s="5">
        <v>2796941.33</v>
      </c>
      <c r="R17" s="5">
        <v>2796941.33</v>
      </c>
      <c r="S17" s="67">
        <f t="shared" si="7"/>
        <v>0</v>
      </c>
      <c r="T17" s="5">
        <v>2796941</v>
      </c>
      <c r="U17" s="158">
        <f t="shared" si="8"/>
        <v>-0.3300000000745058</v>
      </c>
      <c r="W17" s="66" t="s">
        <v>37</v>
      </c>
      <c r="X17" s="5">
        <v>2796941.33</v>
      </c>
      <c r="Y17" s="5">
        <v>2796941.33</v>
      </c>
      <c r="Z17" s="67">
        <v>0</v>
      </c>
      <c r="AA17" s="5">
        <v>2796941</v>
      </c>
      <c r="AB17" s="158">
        <v>-0.3300000000745058</v>
      </c>
    </row>
    <row r="18" spans="2:28" ht="18">
      <c r="B18" s="66" t="s">
        <v>57</v>
      </c>
      <c r="C18" s="5">
        <v>30715714.54</v>
      </c>
      <c r="D18" s="5">
        <v>30715715</v>
      </c>
      <c r="E18" s="67">
        <f t="shared" si="3"/>
        <v>0.46000000089406967</v>
      </c>
      <c r="F18" s="5">
        <v>30715715</v>
      </c>
      <c r="G18" s="158">
        <f t="shared" si="4"/>
        <v>0.46000000089406967</v>
      </c>
      <c r="I18" s="66" t="s">
        <v>57</v>
      </c>
      <c r="J18" s="5">
        <v>30961226.12</v>
      </c>
      <c r="K18" s="5">
        <v>30715714.54</v>
      </c>
      <c r="L18" s="67">
        <f t="shared" si="5"/>
        <v>-245511.58000000194</v>
      </c>
      <c r="M18" s="5">
        <v>30715715</v>
      </c>
      <c r="N18" s="158">
        <f t="shared" si="6"/>
        <v>-245511.12000000104</v>
      </c>
      <c r="P18" s="66" t="s">
        <v>57</v>
      </c>
      <c r="Q18" s="5">
        <v>31914584.73</v>
      </c>
      <c r="R18" s="5">
        <v>30961226.12</v>
      </c>
      <c r="S18" s="67">
        <f t="shared" si="7"/>
        <v>-953358.6099999994</v>
      </c>
      <c r="T18" s="5">
        <v>30715715</v>
      </c>
      <c r="U18" s="158">
        <f t="shared" si="8"/>
        <v>-1198869.7300000004</v>
      </c>
      <c r="W18" s="66" t="s">
        <v>57</v>
      </c>
      <c r="X18" s="5">
        <v>47670199.94</v>
      </c>
      <c r="Y18" s="5">
        <v>31914584.73</v>
      </c>
      <c r="Z18" s="67">
        <v>-15755615.209999997</v>
      </c>
      <c r="AA18" s="5">
        <v>30715715</v>
      </c>
      <c r="AB18" s="158">
        <v>-16954484.939999998</v>
      </c>
    </row>
    <row r="19" spans="2:28" ht="18">
      <c r="B19" s="66" t="s">
        <v>38</v>
      </c>
      <c r="C19" s="5">
        <v>347705.97</v>
      </c>
      <c r="D19" s="5">
        <v>347706</v>
      </c>
      <c r="E19" s="67">
        <f t="shared" si="3"/>
        <v>0.030000000027939677</v>
      </c>
      <c r="F19" s="5">
        <v>347706</v>
      </c>
      <c r="G19" s="158">
        <f t="shared" si="4"/>
        <v>0.030000000027939677</v>
      </c>
      <c r="I19" s="66" t="s">
        <v>38</v>
      </c>
      <c r="J19" s="5">
        <v>347705.97</v>
      </c>
      <c r="K19" s="5">
        <v>347705.97</v>
      </c>
      <c r="L19" s="67">
        <f t="shared" si="5"/>
        <v>0</v>
      </c>
      <c r="M19" s="5">
        <v>347706</v>
      </c>
      <c r="N19" s="158">
        <f t="shared" si="6"/>
        <v>0.030000000027939677</v>
      </c>
      <c r="P19" s="66" t="s">
        <v>38</v>
      </c>
      <c r="Q19" s="5">
        <v>347705.97</v>
      </c>
      <c r="R19" s="5">
        <v>347705.97</v>
      </c>
      <c r="S19" s="67">
        <f t="shared" si="7"/>
        <v>0</v>
      </c>
      <c r="T19" s="5">
        <v>347706</v>
      </c>
      <c r="U19" s="158">
        <f t="shared" si="8"/>
        <v>0.030000000027939677</v>
      </c>
      <c r="W19" s="66" t="s">
        <v>38</v>
      </c>
      <c r="X19" s="5">
        <v>347705.97</v>
      </c>
      <c r="Y19" s="5">
        <v>347705.97</v>
      </c>
      <c r="Z19" s="67">
        <v>0</v>
      </c>
      <c r="AA19" s="5">
        <v>347706</v>
      </c>
      <c r="AB19" s="158">
        <v>0.030000000027939677</v>
      </c>
    </row>
    <row r="20" spans="2:28" ht="18">
      <c r="B20" s="66" t="s">
        <v>58</v>
      </c>
      <c r="C20" s="5">
        <v>3706157.86</v>
      </c>
      <c r="D20" s="5">
        <v>2846763</v>
      </c>
      <c r="E20" s="67">
        <f t="shared" si="3"/>
        <v>-859394.8599999999</v>
      </c>
      <c r="F20" s="5">
        <v>2846763</v>
      </c>
      <c r="G20" s="158">
        <f t="shared" si="4"/>
        <v>-859394.8599999999</v>
      </c>
      <c r="I20" s="66" t="s">
        <v>58</v>
      </c>
      <c r="J20" s="5">
        <v>4603773.74</v>
      </c>
      <c r="K20" s="5">
        <v>3706157.86</v>
      </c>
      <c r="L20" s="67">
        <f t="shared" si="5"/>
        <v>-897615.8800000004</v>
      </c>
      <c r="M20" s="5">
        <v>2846763</v>
      </c>
      <c r="N20" s="158">
        <f t="shared" si="6"/>
        <v>-1757010.7400000002</v>
      </c>
      <c r="P20" s="66" t="s">
        <v>58</v>
      </c>
      <c r="Q20" s="5">
        <v>4882985.74</v>
      </c>
      <c r="R20" s="5">
        <v>4603773.74</v>
      </c>
      <c r="S20" s="67">
        <f t="shared" si="7"/>
        <v>-279212</v>
      </c>
      <c r="T20" s="5">
        <v>2846763</v>
      </c>
      <c r="U20" s="158">
        <f t="shared" si="8"/>
        <v>-2036222.7400000002</v>
      </c>
      <c r="W20" s="66" t="s">
        <v>58</v>
      </c>
      <c r="X20" s="5">
        <v>5262497.14</v>
      </c>
      <c r="Y20" s="5">
        <v>4882985.74</v>
      </c>
      <c r="Z20" s="67">
        <v>-379511.39999999944</v>
      </c>
      <c r="AA20" s="5">
        <v>2846763</v>
      </c>
      <c r="AB20" s="158">
        <v>-2415734.1399999997</v>
      </c>
    </row>
    <row r="21" spans="2:28" ht="18">
      <c r="B21" s="66" t="s">
        <v>39</v>
      </c>
      <c r="C21" s="5">
        <v>465796.77</v>
      </c>
      <c r="D21" s="5">
        <v>465797</v>
      </c>
      <c r="E21" s="67">
        <f t="shared" si="3"/>
        <v>0.22999999998137355</v>
      </c>
      <c r="F21" s="5">
        <v>465797</v>
      </c>
      <c r="G21" s="158">
        <f t="shared" si="4"/>
        <v>0.22999999998137355</v>
      </c>
      <c r="I21" s="66" t="s">
        <v>39</v>
      </c>
      <c r="J21" s="5">
        <v>465796.77</v>
      </c>
      <c r="K21" s="5">
        <v>465796.77</v>
      </c>
      <c r="L21" s="67">
        <f t="shared" si="5"/>
        <v>0</v>
      </c>
      <c r="M21" s="5">
        <v>465797</v>
      </c>
      <c r="N21" s="158">
        <f t="shared" si="6"/>
        <v>0.22999999998137355</v>
      </c>
      <c r="P21" s="66" t="s">
        <v>39</v>
      </c>
      <c r="Q21" s="5">
        <v>465796.77</v>
      </c>
      <c r="R21" s="5">
        <v>465796.77</v>
      </c>
      <c r="S21" s="67">
        <f t="shared" si="7"/>
        <v>0</v>
      </c>
      <c r="T21" s="5">
        <v>465797</v>
      </c>
      <c r="U21" s="158">
        <f t="shared" si="8"/>
        <v>0.22999999998137355</v>
      </c>
      <c r="W21" s="66" t="s">
        <v>39</v>
      </c>
      <c r="X21" s="5">
        <v>559930.77</v>
      </c>
      <c r="Y21" s="5">
        <v>465796.77</v>
      </c>
      <c r="Z21" s="67">
        <v>-94134</v>
      </c>
      <c r="AA21" s="5">
        <v>465797</v>
      </c>
      <c r="AB21" s="158">
        <v>-94133.77000000002</v>
      </c>
    </row>
    <row r="22" spans="2:28" ht="18">
      <c r="B22" s="66" t="s">
        <v>59</v>
      </c>
      <c r="C22" s="67">
        <v>-18859580.56</v>
      </c>
      <c r="D22" s="67">
        <v>-18859581</v>
      </c>
      <c r="E22" s="67">
        <f t="shared" si="3"/>
        <v>-0.4400000013411045</v>
      </c>
      <c r="F22" s="67">
        <v>-18859581</v>
      </c>
      <c r="G22" s="158">
        <f t="shared" si="4"/>
        <v>-0.4400000013411045</v>
      </c>
      <c r="I22" s="66" t="s">
        <v>59</v>
      </c>
      <c r="J22" s="67">
        <v>-18859580.56</v>
      </c>
      <c r="K22" s="67">
        <v>-18859580.56</v>
      </c>
      <c r="L22" s="67">
        <f t="shared" si="5"/>
        <v>0</v>
      </c>
      <c r="M22" s="67">
        <v>-18859581</v>
      </c>
      <c r="N22" s="158">
        <f t="shared" si="6"/>
        <v>-0.4400000013411045</v>
      </c>
      <c r="P22" s="66" t="s">
        <v>59</v>
      </c>
      <c r="Q22" s="67">
        <v>-18859580.56</v>
      </c>
      <c r="R22" s="67">
        <v>-18859580.56</v>
      </c>
      <c r="S22" s="67">
        <f t="shared" si="7"/>
        <v>0</v>
      </c>
      <c r="T22" s="67">
        <v>-18859581</v>
      </c>
      <c r="U22" s="158">
        <f t="shared" si="8"/>
        <v>-0.4400000013411045</v>
      </c>
      <c r="W22" s="66" t="s">
        <v>59</v>
      </c>
      <c r="X22" s="67">
        <v>-18859580.56</v>
      </c>
      <c r="Y22" s="67">
        <v>-18859580.56</v>
      </c>
      <c r="Z22" s="67">
        <v>0</v>
      </c>
      <c r="AA22" s="67">
        <v>-18859581</v>
      </c>
      <c r="AB22" s="158">
        <v>-0.4400000013411045</v>
      </c>
    </row>
    <row r="23" spans="2:28" ht="18.75" thickBot="1">
      <c r="B23" s="68" t="s">
        <v>103</v>
      </c>
      <c r="C23" s="17">
        <f>SUM(C16:C22)</f>
        <v>24236522.34</v>
      </c>
      <c r="D23" s="17">
        <f>SUM(D16:D22)</f>
        <v>23362128</v>
      </c>
      <c r="E23" s="69">
        <f>SUM(E16:E22)</f>
        <v>-874394.3400000001</v>
      </c>
      <c r="F23" s="17">
        <f>SUM(F16:F22)</f>
        <v>23362128</v>
      </c>
      <c r="G23" s="159">
        <f>SUM(G16:G22)</f>
        <v>-874394.3400000001</v>
      </c>
      <c r="I23" s="68" t="s">
        <v>103</v>
      </c>
      <c r="J23" s="17">
        <f>SUM(J16:J22)</f>
        <v>25381958.200000007</v>
      </c>
      <c r="K23" s="17">
        <f>SUM(K16:K22)</f>
        <v>24236522.34</v>
      </c>
      <c r="L23" s="69">
        <f>SUM(L16:L22)</f>
        <v>-1145435.8600000027</v>
      </c>
      <c r="M23" s="17">
        <f>SUM(M16:M22)</f>
        <v>23362128</v>
      </c>
      <c r="N23" s="159">
        <f>SUM(N16:N22)</f>
        <v>-2019830.2000000027</v>
      </c>
      <c r="P23" s="262" t="s">
        <v>103</v>
      </c>
      <c r="Q23" s="263">
        <f>SUM(Q16:Q22)</f>
        <v>26643298.020000007</v>
      </c>
      <c r="R23" s="263">
        <f>SUM(R16:R22)</f>
        <v>25381958.200000007</v>
      </c>
      <c r="S23" s="264">
        <f>SUM(S16:S22)</f>
        <v>-1261339.8199999994</v>
      </c>
      <c r="T23" s="263">
        <f>SUM(T16:T22)</f>
        <v>23362128</v>
      </c>
      <c r="U23" s="265">
        <f>SUM(U16:U22)</f>
        <v>-3281170.020000002</v>
      </c>
      <c r="W23" s="262" t="s">
        <v>103</v>
      </c>
      <c r="X23" s="263">
        <v>43162588.33</v>
      </c>
      <c r="Y23" s="263">
        <v>26643298.020000007</v>
      </c>
      <c r="Z23" s="264">
        <v>-16519290.309999995</v>
      </c>
      <c r="AA23" s="263">
        <v>23362128</v>
      </c>
      <c r="AB23" s="265">
        <v>-19800460.33</v>
      </c>
    </row>
    <row r="24" spans="2:28" ht="18.75" thickTop="1">
      <c r="B24" s="70"/>
      <c r="C24" s="13"/>
      <c r="D24" s="13"/>
      <c r="E24" s="13"/>
      <c r="F24" s="13"/>
      <c r="G24" s="14"/>
      <c r="I24" s="70"/>
      <c r="J24" s="13"/>
      <c r="K24" s="13"/>
      <c r="L24" s="13"/>
      <c r="M24" s="13"/>
      <c r="N24" s="14"/>
      <c r="P24" s="70"/>
      <c r="Q24" s="13"/>
      <c r="R24" s="13"/>
      <c r="S24" s="13"/>
      <c r="T24" s="13"/>
      <c r="U24" s="14"/>
      <c r="W24" s="70"/>
      <c r="X24" s="13"/>
      <c r="Y24" s="13"/>
      <c r="Z24" s="13"/>
      <c r="AA24" s="13"/>
      <c r="AB24" s="14"/>
    </row>
    <row r="25" spans="2:28" ht="18">
      <c r="B25" s="66"/>
      <c r="C25" s="5"/>
      <c r="D25" s="5"/>
      <c r="E25" s="5"/>
      <c r="F25" s="5"/>
      <c r="G25" s="8"/>
      <c r="I25" s="66"/>
      <c r="J25" s="5"/>
      <c r="K25" s="5"/>
      <c r="L25" s="5"/>
      <c r="M25" s="5"/>
      <c r="N25" s="8"/>
      <c r="P25" s="66"/>
      <c r="Q25" s="5"/>
      <c r="R25" s="5"/>
      <c r="S25" s="5"/>
      <c r="T25" s="5"/>
      <c r="U25" s="8"/>
      <c r="W25" s="66"/>
      <c r="X25" s="5"/>
      <c r="Y25" s="5"/>
      <c r="Z25" s="5"/>
      <c r="AA25" s="5"/>
      <c r="AB25" s="8"/>
    </row>
    <row r="26" spans="2:28" ht="18">
      <c r="B26" s="66" t="s">
        <v>40</v>
      </c>
      <c r="C26" s="5">
        <v>743608.15</v>
      </c>
      <c r="D26" s="5">
        <v>743608.15</v>
      </c>
      <c r="E26" s="67">
        <f aca="true" t="shared" si="9" ref="E26:E31">+D26-C26</f>
        <v>0</v>
      </c>
      <c r="F26" s="5">
        <v>743608.15</v>
      </c>
      <c r="G26" s="158">
        <f aca="true" t="shared" si="10" ref="G26:G31">+F26-C26</f>
        <v>0</v>
      </c>
      <c r="I26" s="66" t="s">
        <v>40</v>
      </c>
      <c r="J26" s="5">
        <v>743608.15</v>
      </c>
      <c r="K26" s="5">
        <v>743608.15</v>
      </c>
      <c r="L26" s="67">
        <f aca="true" t="shared" si="11" ref="L26:L31">+K26-J26</f>
        <v>0</v>
      </c>
      <c r="M26" s="5">
        <v>743608.15</v>
      </c>
      <c r="N26" s="158">
        <f aca="true" t="shared" si="12" ref="N26:N31">+M26-J26</f>
        <v>0</v>
      </c>
      <c r="P26" s="66" t="s">
        <v>40</v>
      </c>
      <c r="Q26" s="5">
        <v>743608.15</v>
      </c>
      <c r="R26" s="5">
        <v>743608.15</v>
      </c>
      <c r="S26" s="67">
        <f aca="true" t="shared" si="13" ref="S26:S31">+R26-Q26</f>
        <v>0</v>
      </c>
      <c r="T26" s="5">
        <v>743608.15</v>
      </c>
      <c r="U26" s="158">
        <f aca="true" t="shared" si="14" ref="U26:U31">+T26-Q26</f>
        <v>0</v>
      </c>
      <c r="W26" s="66" t="s">
        <v>40</v>
      </c>
      <c r="X26" s="5">
        <v>743608.15</v>
      </c>
      <c r="Y26" s="5">
        <v>743608.15</v>
      </c>
      <c r="Z26" s="67">
        <v>0</v>
      </c>
      <c r="AA26" s="5">
        <v>743608.15</v>
      </c>
      <c r="AB26" s="158">
        <v>0</v>
      </c>
    </row>
    <row r="27" spans="2:28" ht="18">
      <c r="B27" s="66" t="s">
        <v>60</v>
      </c>
      <c r="C27" s="67">
        <v>-743608.15</v>
      </c>
      <c r="D27" s="67">
        <v>-743608.15</v>
      </c>
      <c r="E27" s="67">
        <f t="shared" si="9"/>
        <v>0</v>
      </c>
      <c r="F27" s="67">
        <v>-743608.15</v>
      </c>
      <c r="G27" s="158">
        <f t="shared" si="10"/>
        <v>0</v>
      </c>
      <c r="I27" s="66" t="s">
        <v>60</v>
      </c>
      <c r="J27" s="67">
        <v>-743608.15</v>
      </c>
      <c r="K27" s="67">
        <v>-743608.15</v>
      </c>
      <c r="L27" s="67">
        <f t="shared" si="11"/>
        <v>0</v>
      </c>
      <c r="M27" s="67">
        <v>-743608.15</v>
      </c>
      <c r="N27" s="158">
        <f t="shared" si="12"/>
        <v>0</v>
      </c>
      <c r="P27" s="66" t="s">
        <v>60</v>
      </c>
      <c r="Q27" s="67">
        <v>-743608.15</v>
      </c>
      <c r="R27" s="67">
        <v>-743608.15</v>
      </c>
      <c r="S27" s="67">
        <f t="shared" si="13"/>
        <v>0</v>
      </c>
      <c r="T27" s="67">
        <v>-743608.15</v>
      </c>
      <c r="U27" s="158">
        <f t="shared" si="14"/>
        <v>0</v>
      </c>
      <c r="W27" s="66" t="s">
        <v>60</v>
      </c>
      <c r="X27" s="67">
        <v>-743608.15</v>
      </c>
      <c r="Y27" s="67">
        <v>-743608.15</v>
      </c>
      <c r="Z27" s="67">
        <v>0</v>
      </c>
      <c r="AA27" s="67">
        <v>-743608.15</v>
      </c>
      <c r="AB27" s="158">
        <v>0</v>
      </c>
    </row>
    <row r="28" spans="2:28" ht="18">
      <c r="B28" s="66" t="s">
        <v>61</v>
      </c>
      <c r="C28" s="5">
        <v>45533.24</v>
      </c>
      <c r="D28" s="5">
        <v>45533.24</v>
      </c>
      <c r="E28" s="67">
        <f t="shared" si="9"/>
        <v>0</v>
      </c>
      <c r="F28" s="5">
        <v>45533.24</v>
      </c>
      <c r="G28" s="158">
        <f t="shared" si="10"/>
        <v>0</v>
      </c>
      <c r="I28" s="66" t="s">
        <v>61</v>
      </c>
      <c r="J28" s="5">
        <v>45533.24</v>
      </c>
      <c r="K28" s="5">
        <v>45533.24</v>
      </c>
      <c r="L28" s="67">
        <f t="shared" si="11"/>
        <v>0</v>
      </c>
      <c r="M28" s="5">
        <v>45533.24</v>
      </c>
      <c r="N28" s="158">
        <f t="shared" si="12"/>
        <v>0</v>
      </c>
      <c r="P28" s="66" t="s">
        <v>61</v>
      </c>
      <c r="Q28" s="5">
        <v>45533.24</v>
      </c>
      <c r="R28" s="5">
        <v>45533.24</v>
      </c>
      <c r="S28" s="67">
        <f t="shared" si="13"/>
        <v>0</v>
      </c>
      <c r="T28" s="5">
        <v>45533.24</v>
      </c>
      <c r="U28" s="158">
        <f t="shared" si="14"/>
        <v>0</v>
      </c>
      <c r="W28" s="66" t="s">
        <v>61</v>
      </c>
      <c r="X28" s="5">
        <v>45533.24</v>
      </c>
      <c r="Y28" s="5">
        <v>45533.24</v>
      </c>
      <c r="Z28" s="67">
        <v>0</v>
      </c>
      <c r="AA28" s="5">
        <v>45533.24</v>
      </c>
      <c r="AB28" s="158">
        <v>0</v>
      </c>
    </row>
    <row r="29" spans="2:28" ht="18">
      <c r="B29" s="66" t="s">
        <v>62</v>
      </c>
      <c r="C29" s="67">
        <v>-28833.21</v>
      </c>
      <c r="D29" s="67">
        <v>-28833</v>
      </c>
      <c r="E29" s="67">
        <f t="shared" si="9"/>
        <v>0.20999999999912689</v>
      </c>
      <c r="F29" s="67">
        <v>-28833</v>
      </c>
      <c r="G29" s="158">
        <f t="shared" si="10"/>
        <v>0.20999999999912689</v>
      </c>
      <c r="I29" s="66" t="s">
        <v>62</v>
      </c>
      <c r="J29" s="67">
        <v>-28833.21</v>
      </c>
      <c r="K29" s="67">
        <v>-28833.21</v>
      </c>
      <c r="L29" s="67">
        <f t="shared" si="11"/>
        <v>0</v>
      </c>
      <c r="M29" s="67">
        <v>-28833</v>
      </c>
      <c r="N29" s="158">
        <f t="shared" si="12"/>
        <v>0.20999999999912689</v>
      </c>
      <c r="P29" s="66" t="s">
        <v>62</v>
      </c>
      <c r="Q29" s="67">
        <v>-28833.21</v>
      </c>
      <c r="R29" s="67">
        <v>-28833.21</v>
      </c>
      <c r="S29" s="67">
        <f t="shared" si="13"/>
        <v>0</v>
      </c>
      <c r="T29" s="67">
        <v>-28833</v>
      </c>
      <c r="U29" s="158">
        <f t="shared" si="14"/>
        <v>0.20999999999912689</v>
      </c>
      <c r="W29" s="66" t="s">
        <v>62</v>
      </c>
      <c r="X29" s="67">
        <v>-28833.21</v>
      </c>
      <c r="Y29" s="67">
        <v>-28833.21</v>
      </c>
      <c r="Z29" s="67">
        <v>0</v>
      </c>
      <c r="AA29" s="67">
        <v>-28833</v>
      </c>
      <c r="AB29" s="158">
        <v>0.20999999999912689</v>
      </c>
    </row>
    <row r="30" spans="2:28" ht="18">
      <c r="B30" s="66" t="s">
        <v>149</v>
      </c>
      <c r="C30" s="5">
        <v>622187.78</v>
      </c>
      <c r="D30" s="5">
        <v>622188</v>
      </c>
      <c r="E30" s="67">
        <f t="shared" si="9"/>
        <v>0.21999999997206032</v>
      </c>
      <c r="F30" s="5">
        <v>622188</v>
      </c>
      <c r="G30" s="158">
        <f t="shared" si="10"/>
        <v>0.21999999997206032</v>
      </c>
      <c r="I30" s="66" t="s">
        <v>149</v>
      </c>
      <c r="J30" s="5">
        <v>622187.78</v>
      </c>
      <c r="K30" s="5">
        <v>622187.78</v>
      </c>
      <c r="L30" s="67">
        <f t="shared" si="11"/>
        <v>0</v>
      </c>
      <c r="M30" s="5">
        <v>622188</v>
      </c>
      <c r="N30" s="158">
        <f t="shared" si="12"/>
        <v>0.21999999997206032</v>
      </c>
      <c r="P30" s="66" t="s">
        <v>149</v>
      </c>
      <c r="Q30" s="5">
        <v>579387.78</v>
      </c>
      <c r="R30" s="5">
        <v>622187.78</v>
      </c>
      <c r="S30" s="67">
        <f t="shared" si="13"/>
        <v>42800</v>
      </c>
      <c r="T30" s="5">
        <v>622188</v>
      </c>
      <c r="U30" s="158">
        <f t="shared" si="14"/>
        <v>42800.21999999997</v>
      </c>
      <c r="W30" s="66" t="s">
        <v>149</v>
      </c>
      <c r="X30" s="5">
        <v>579387.78</v>
      </c>
      <c r="Y30" s="5">
        <v>579387.78</v>
      </c>
      <c r="Z30" s="67">
        <v>0</v>
      </c>
      <c r="AA30" s="5">
        <v>622188</v>
      </c>
      <c r="AB30" s="158">
        <v>42800.21999999997</v>
      </c>
    </row>
    <row r="31" spans="2:28" ht="18" customHeight="1" hidden="1">
      <c r="B31" s="66" t="s">
        <v>64</v>
      </c>
      <c r="C31" s="5">
        <v>0</v>
      </c>
      <c r="D31" s="5">
        <v>0</v>
      </c>
      <c r="E31" s="5">
        <f t="shared" si="9"/>
        <v>0</v>
      </c>
      <c r="F31" s="5">
        <v>0</v>
      </c>
      <c r="G31" s="158">
        <f t="shared" si="10"/>
        <v>0</v>
      </c>
      <c r="I31" s="66" t="s">
        <v>64</v>
      </c>
      <c r="J31" s="5">
        <v>0</v>
      </c>
      <c r="K31" s="5">
        <v>0</v>
      </c>
      <c r="L31" s="5">
        <f t="shared" si="11"/>
        <v>0</v>
      </c>
      <c r="M31" s="5">
        <v>0</v>
      </c>
      <c r="N31" s="158">
        <f t="shared" si="12"/>
        <v>0</v>
      </c>
      <c r="P31" s="66" t="s">
        <v>64</v>
      </c>
      <c r="Q31" s="5">
        <v>0</v>
      </c>
      <c r="R31" s="5">
        <v>0</v>
      </c>
      <c r="S31" s="5">
        <f t="shared" si="13"/>
        <v>0</v>
      </c>
      <c r="T31" s="5">
        <v>0</v>
      </c>
      <c r="U31" s="158">
        <f t="shared" si="14"/>
        <v>0</v>
      </c>
      <c r="W31" s="66" t="s">
        <v>64</v>
      </c>
      <c r="X31" s="5">
        <v>0</v>
      </c>
      <c r="Y31" s="5">
        <v>0</v>
      </c>
      <c r="Z31" s="5">
        <v>0</v>
      </c>
      <c r="AA31" s="5">
        <v>0</v>
      </c>
      <c r="AB31" s="158">
        <v>0</v>
      </c>
    </row>
    <row r="32" spans="2:28" ht="18.75" thickBot="1">
      <c r="B32" s="68" t="s">
        <v>104</v>
      </c>
      <c r="C32" s="17">
        <f>SUM(C26:C31)</f>
        <v>638887.81</v>
      </c>
      <c r="D32" s="17">
        <f>SUM(D26:D31)</f>
        <v>638888.24</v>
      </c>
      <c r="E32" s="69">
        <f>SUM(E26:E31)</f>
        <v>0.4299999999711872</v>
      </c>
      <c r="F32" s="17">
        <f>SUM(F26:F31)</f>
        <v>638888.24</v>
      </c>
      <c r="G32" s="160">
        <f>SUM(G26:G31)</f>
        <v>0.4299999999711872</v>
      </c>
      <c r="I32" s="68" t="s">
        <v>104</v>
      </c>
      <c r="J32" s="17">
        <f>SUM(J26:J31)</f>
        <v>638887.81</v>
      </c>
      <c r="K32" s="17">
        <f>SUM(K26:K31)</f>
        <v>638887.81</v>
      </c>
      <c r="L32" s="69">
        <f>SUM(L26:L31)</f>
        <v>0</v>
      </c>
      <c r="M32" s="17">
        <f>SUM(M26:M31)</f>
        <v>638888.24</v>
      </c>
      <c r="N32" s="160">
        <f>SUM(N26:N31)</f>
        <v>0.4299999999711872</v>
      </c>
      <c r="P32" s="262" t="s">
        <v>104</v>
      </c>
      <c r="Q32" s="263">
        <f>SUM(Q26:Q31)</f>
        <v>596087.81</v>
      </c>
      <c r="R32" s="263">
        <f>SUM(R26:R31)</f>
        <v>638887.81</v>
      </c>
      <c r="S32" s="264">
        <f>SUM(S26:S31)</f>
        <v>42800</v>
      </c>
      <c r="T32" s="263">
        <f>SUM(T26:T31)</f>
        <v>638888.24</v>
      </c>
      <c r="U32" s="265">
        <f>SUM(U26:U31)</f>
        <v>42800.42999999997</v>
      </c>
      <c r="W32" s="262" t="s">
        <v>104</v>
      </c>
      <c r="X32" s="263">
        <v>596087.81</v>
      </c>
      <c r="Y32" s="263">
        <v>596087.81</v>
      </c>
      <c r="Z32" s="264">
        <v>0</v>
      </c>
      <c r="AA32" s="263">
        <v>638888.24</v>
      </c>
      <c r="AB32" s="265">
        <v>42800.42999999997</v>
      </c>
    </row>
    <row r="33" spans="2:28" ht="18.75" hidden="1" thickTop="1">
      <c r="B33" s="70"/>
      <c r="C33" s="13"/>
      <c r="D33" s="13"/>
      <c r="E33" s="13"/>
      <c r="F33" s="13"/>
      <c r="G33" s="14"/>
      <c r="I33" s="70"/>
      <c r="J33" s="13"/>
      <c r="K33" s="13"/>
      <c r="L33" s="13"/>
      <c r="M33" s="13"/>
      <c r="N33" s="14"/>
      <c r="P33" s="70"/>
      <c r="Q33" s="13"/>
      <c r="R33" s="13"/>
      <c r="S33" s="13"/>
      <c r="T33" s="13"/>
      <c r="U33" s="14"/>
      <c r="W33" s="70"/>
      <c r="X33" s="13"/>
      <c r="Y33" s="13"/>
      <c r="Z33" s="13"/>
      <c r="AA33" s="13"/>
      <c r="AB33" s="14"/>
    </row>
    <row r="34" spans="2:28" ht="18.75" thickTop="1">
      <c r="B34" s="72"/>
      <c r="C34" s="16"/>
      <c r="D34" s="16"/>
      <c r="E34" s="16"/>
      <c r="F34" s="16"/>
      <c r="G34" s="161"/>
      <c r="I34" s="72"/>
      <c r="J34" s="16"/>
      <c r="K34" s="16"/>
      <c r="L34" s="16"/>
      <c r="M34" s="16"/>
      <c r="N34" s="161"/>
      <c r="P34" s="72"/>
      <c r="Q34" s="16"/>
      <c r="R34" s="16"/>
      <c r="S34" s="16"/>
      <c r="T34" s="16"/>
      <c r="U34" s="161"/>
      <c r="W34" s="72"/>
      <c r="X34" s="16"/>
      <c r="Y34" s="16"/>
      <c r="Z34" s="16"/>
      <c r="AA34" s="16"/>
      <c r="AB34" s="161"/>
    </row>
    <row r="35" spans="2:28" ht="18.75" thickBot="1">
      <c r="B35" s="73" t="s">
        <v>105</v>
      </c>
      <c r="C35" s="10">
        <f>+C32+C23+C13</f>
        <v>115777749.19</v>
      </c>
      <c r="D35" s="10">
        <f>+D32+D23+D13-1</f>
        <v>107268020.24</v>
      </c>
      <c r="E35" s="74">
        <f>+E32+E23+E13</f>
        <v>-8509727.950000005</v>
      </c>
      <c r="F35" s="10">
        <f>+F32+F23+F13</f>
        <v>107268021.24</v>
      </c>
      <c r="G35" s="11">
        <f>+G32+G23+G13</f>
        <v>-8509727.950000005</v>
      </c>
      <c r="I35" s="73" t="s">
        <v>105</v>
      </c>
      <c r="J35" s="10">
        <f>+J32+J23+J13</f>
        <v>135705580.16</v>
      </c>
      <c r="K35" s="10">
        <f>+K32+K23+K13</f>
        <v>115777749.19</v>
      </c>
      <c r="L35" s="74">
        <f>+L32+L23+L13</f>
        <v>-19927830.970000003</v>
      </c>
      <c r="M35" s="10">
        <f>+M32+M23+M13</f>
        <v>107268021.24</v>
      </c>
      <c r="N35" s="11">
        <f>+N32+N23+N13</f>
        <v>-28437558.92</v>
      </c>
      <c r="P35" s="256" t="s">
        <v>105</v>
      </c>
      <c r="Q35" s="238">
        <f>+Q32+Q23+Q13</f>
        <v>181661363.68000004</v>
      </c>
      <c r="R35" s="238">
        <f>+R32+R23+R13</f>
        <v>135705580.16</v>
      </c>
      <c r="S35" s="257">
        <f>+S32+S23+S13</f>
        <v>-45955783.52</v>
      </c>
      <c r="T35" s="238">
        <f>+T32+T23+T13</f>
        <v>107268021.24</v>
      </c>
      <c r="U35" s="239">
        <f>+U32+U23+U13</f>
        <v>-74393342.44000001</v>
      </c>
      <c r="W35" s="256" t="s">
        <v>105</v>
      </c>
      <c r="X35" s="238">
        <v>144416789.57999998</v>
      </c>
      <c r="Y35" s="238">
        <v>181661363.68000004</v>
      </c>
      <c r="Z35" s="257">
        <v>37244574.10000002</v>
      </c>
      <c r="AA35" s="238">
        <v>107268021.24</v>
      </c>
      <c r="AB35" s="239">
        <v>-37148768.33999999</v>
      </c>
    </row>
    <row r="36" spans="2:28" ht="18.75" thickTop="1">
      <c r="B36" s="75"/>
      <c r="C36" s="20"/>
      <c r="D36" s="20"/>
      <c r="E36" s="20"/>
      <c r="F36" s="20"/>
      <c r="G36" s="162"/>
      <c r="I36" s="75"/>
      <c r="J36" s="20"/>
      <c r="K36" s="20"/>
      <c r="L36" s="20"/>
      <c r="M36" s="20"/>
      <c r="N36" s="162"/>
      <c r="P36" s="75"/>
      <c r="Q36" s="20"/>
      <c r="R36" s="20"/>
      <c r="S36" s="20"/>
      <c r="T36" s="20"/>
      <c r="U36" s="162"/>
      <c r="W36" s="75"/>
      <c r="X36" s="20"/>
      <c r="Y36" s="20"/>
      <c r="Z36" s="20"/>
      <c r="AA36" s="20"/>
      <c r="AB36" s="162"/>
    </row>
    <row r="37" spans="2:28" ht="18" hidden="1">
      <c r="B37" s="75"/>
      <c r="C37" s="20"/>
      <c r="D37" s="20"/>
      <c r="E37" s="20"/>
      <c r="F37" s="20"/>
      <c r="G37" s="162"/>
      <c r="I37" s="75"/>
      <c r="J37" s="20"/>
      <c r="K37" s="20"/>
      <c r="L37" s="20"/>
      <c r="M37" s="20"/>
      <c r="N37" s="162"/>
      <c r="P37" s="75"/>
      <c r="Q37" s="20"/>
      <c r="R37" s="20"/>
      <c r="S37" s="20"/>
      <c r="T37" s="20"/>
      <c r="U37" s="162"/>
      <c r="W37" s="75"/>
      <c r="X37" s="20"/>
      <c r="Y37" s="20"/>
      <c r="Z37" s="20"/>
      <c r="AA37" s="20"/>
      <c r="AB37" s="162"/>
    </row>
    <row r="38" spans="2:28" ht="18" hidden="1">
      <c r="B38" s="72"/>
      <c r="C38" s="16"/>
      <c r="D38" s="16"/>
      <c r="E38" s="16"/>
      <c r="F38" s="16"/>
      <c r="G38" s="161"/>
      <c r="I38" s="72"/>
      <c r="J38" s="16"/>
      <c r="K38" s="16"/>
      <c r="L38" s="16"/>
      <c r="M38" s="16"/>
      <c r="N38" s="161"/>
      <c r="P38" s="72"/>
      <c r="Q38" s="16"/>
      <c r="R38" s="16"/>
      <c r="S38" s="16"/>
      <c r="T38" s="16"/>
      <c r="U38" s="161"/>
      <c r="W38" s="72"/>
      <c r="X38" s="16"/>
      <c r="Y38" s="16"/>
      <c r="Z38" s="16"/>
      <c r="AA38" s="16"/>
      <c r="AB38" s="161"/>
    </row>
    <row r="39" spans="2:28" ht="18">
      <c r="B39" s="72" t="s">
        <v>41</v>
      </c>
      <c r="C39" s="67">
        <v>21989.01</v>
      </c>
      <c r="D39" s="67">
        <v>250309</v>
      </c>
      <c r="E39" s="67">
        <f>+C39-D39</f>
        <v>-228319.99</v>
      </c>
      <c r="F39" s="67">
        <v>250309</v>
      </c>
      <c r="G39" s="158">
        <f>+C39-F39</f>
        <v>-228319.99</v>
      </c>
      <c r="I39" s="72" t="s">
        <v>41</v>
      </c>
      <c r="J39" s="67">
        <v>23270.27</v>
      </c>
      <c r="K39" s="67">
        <v>21989.01</v>
      </c>
      <c r="L39" s="67">
        <f>+J39-K39</f>
        <v>1281.260000000002</v>
      </c>
      <c r="M39" s="67">
        <v>250309</v>
      </c>
      <c r="N39" s="158">
        <f>+J39-M39</f>
        <v>-227038.73</v>
      </c>
      <c r="P39" s="72" t="s">
        <v>41</v>
      </c>
      <c r="Q39" s="67">
        <v>19905</v>
      </c>
      <c r="R39" s="67">
        <v>23270.27</v>
      </c>
      <c r="S39" s="67">
        <f>+Q39-R39</f>
        <v>-3365.2700000000004</v>
      </c>
      <c r="T39" s="67">
        <v>250309</v>
      </c>
      <c r="U39" s="158">
        <f>+Q39-T39</f>
        <v>-230404</v>
      </c>
      <c r="W39" s="72" t="s">
        <v>41</v>
      </c>
      <c r="X39" s="67">
        <v>19905</v>
      </c>
      <c r="Y39" s="67">
        <v>19905</v>
      </c>
      <c r="Z39" s="67">
        <v>0</v>
      </c>
      <c r="AA39" s="67">
        <v>250309</v>
      </c>
      <c r="AB39" s="158">
        <v>-230404</v>
      </c>
    </row>
    <row r="40" spans="2:28" ht="18">
      <c r="B40" s="72" t="s">
        <v>42</v>
      </c>
      <c r="C40" s="67">
        <v>2862422.48</v>
      </c>
      <c r="D40" s="67">
        <v>5763855</v>
      </c>
      <c r="E40" s="67">
        <f>+C40-D40</f>
        <v>-2901432.52</v>
      </c>
      <c r="F40" s="67">
        <v>5763855</v>
      </c>
      <c r="G40" s="158">
        <f>+C40-F40</f>
        <v>-2901432.52</v>
      </c>
      <c r="I40" s="72" t="s">
        <v>42</v>
      </c>
      <c r="J40" s="67">
        <v>3624576.52</v>
      </c>
      <c r="K40" s="67">
        <v>2862422.48</v>
      </c>
      <c r="L40" s="67">
        <f>+J40-K40</f>
        <v>762154.04</v>
      </c>
      <c r="M40" s="67">
        <v>5763855</v>
      </c>
      <c r="N40" s="158">
        <f>+J40-M40</f>
        <v>-2139278.48</v>
      </c>
      <c r="P40" s="72" t="s">
        <v>42</v>
      </c>
      <c r="Q40" s="67">
        <v>4265793.2</v>
      </c>
      <c r="R40" s="67">
        <v>3624576.52</v>
      </c>
      <c r="S40" s="67">
        <f>+Q40-R40</f>
        <v>641216.6800000002</v>
      </c>
      <c r="T40" s="67">
        <v>5763855</v>
      </c>
      <c r="U40" s="158">
        <f>+Q40-T40</f>
        <v>-1498061.7999999998</v>
      </c>
      <c r="W40" s="72" t="s">
        <v>42</v>
      </c>
      <c r="X40" s="67">
        <v>4152815.36</v>
      </c>
      <c r="Y40" s="67">
        <v>4265793.2</v>
      </c>
      <c r="Z40" s="67">
        <v>-112977.84000000032</v>
      </c>
      <c r="AA40" s="67">
        <v>5763855</v>
      </c>
      <c r="AB40" s="158">
        <v>-1611039.6400000001</v>
      </c>
    </row>
    <row r="41" spans="2:28" ht="18">
      <c r="B41" s="72" t="s">
        <v>183</v>
      </c>
      <c r="C41" s="67">
        <v>43</v>
      </c>
      <c r="D41" s="67">
        <v>1050130</v>
      </c>
      <c r="E41" s="67">
        <f>+C41-D41</f>
        <v>-1050087</v>
      </c>
      <c r="F41" s="67">
        <v>1050130</v>
      </c>
      <c r="G41" s="158">
        <f>+C41-F41</f>
        <v>-1050087</v>
      </c>
      <c r="I41" s="72" t="s">
        <v>183</v>
      </c>
      <c r="J41" s="67">
        <v>0</v>
      </c>
      <c r="K41" s="67">
        <v>43</v>
      </c>
      <c r="L41" s="67">
        <f>+J41-K41</f>
        <v>-43</v>
      </c>
      <c r="M41" s="67">
        <v>1050130</v>
      </c>
      <c r="N41" s="158">
        <f>+J41-M41</f>
        <v>-1050130</v>
      </c>
      <c r="P41" s="72" t="s">
        <v>183</v>
      </c>
      <c r="Q41" s="67">
        <v>0</v>
      </c>
      <c r="R41" s="67">
        <v>0</v>
      </c>
      <c r="S41" s="67">
        <f>+Q41-R41</f>
        <v>0</v>
      </c>
      <c r="T41" s="67">
        <v>1050130</v>
      </c>
      <c r="U41" s="158">
        <f>+Q41-T41</f>
        <v>-1050130</v>
      </c>
      <c r="W41" s="72" t="s">
        <v>183</v>
      </c>
      <c r="X41" s="67">
        <v>0</v>
      </c>
      <c r="Y41" s="67">
        <v>0</v>
      </c>
      <c r="Z41" s="67">
        <v>0</v>
      </c>
      <c r="AA41" s="67">
        <v>1050130</v>
      </c>
      <c r="AB41" s="158">
        <v>-1050130</v>
      </c>
    </row>
    <row r="42" spans="2:28" ht="18">
      <c r="B42" s="72" t="s">
        <v>87</v>
      </c>
      <c r="C42" s="67">
        <v>5983.57</v>
      </c>
      <c r="D42" s="67">
        <v>551726</v>
      </c>
      <c r="E42" s="67">
        <f>+C42-D42</f>
        <v>-545742.43</v>
      </c>
      <c r="F42" s="67">
        <v>551726</v>
      </c>
      <c r="G42" s="158">
        <f>+C42-F42</f>
        <v>-545742.43</v>
      </c>
      <c r="I42" s="72" t="s">
        <v>87</v>
      </c>
      <c r="J42" s="67">
        <v>2125885.54</v>
      </c>
      <c r="K42" s="67">
        <v>5983.57</v>
      </c>
      <c r="L42" s="67">
        <f>+J42-K42</f>
        <v>2119901.97</v>
      </c>
      <c r="M42" s="67">
        <v>551726</v>
      </c>
      <c r="N42" s="158">
        <f>+J42-M42</f>
        <v>1574159.54</v>
      </c>
      <c r="P42" s="72" t="s">
        <v>87</v>
      </c>
      <c r="Q42" s="67">
        <v>72575.85</v>
      </c>
      <c r="R42" s="67">
        <v>2125885.54</v>
      </c>
      <c r="S42" s="67">
        <f>+Q42-R42</f>
        <v>-2053309.69</v>
      </c>
      <c r="T42" s="67">
        <v>551726</v>
      </c>
      <c r="U42" s="158">
        <f>+Q42-T42</f>
        <v>-479150.15</v>
      </c>
      <c r="W42" s="72" t="s">
        <v>87</v>
      </c>
      <c r="X42" s="67">
        <v>86138.81</v>
      </c>
      <c r="Y42" s="67">
        <v>72575.85</v>
      </c>
      <c r="Z42" s="67">
        <v>13562.959999999992</v>
      </c>
      <c r="AA42" s="67">
        <v>551726</v>
      </c>
      <c r="AB42" s="158">
        <v>-465587.19</v>
      </c>
    </row>
    <row r="43" spans="2:28" ht="18">
      <c r="B43" s="72" t="s">
        <v>43</v>
      </c>
      <c r="C43" s="67">
        <v>50780.21</v>
      </c>
      <c r="D43" s="67">
        <v>31679</v>
      </c>
      <c r="E43" s="67">
        <f>+C43-D43</f>
        <v>19101.21</v>
      </c>
      <c r="F43" s="67">
        <v>31679</v>
      </c>
      <c r="G43" s="158">
        <f>+C43-F43</f>
        <v>19101.21</v>
      </c>
      <c r="I43" s="72" t="s">
        <v>43</v>
      </c>
      <c r="J43" s="67">
        <v>71550.08</v>
      </c>
      <c r="K43" s="67">
        <v>50780.21</v>
      </c>
      <c r="L43" s="67">
        <f>+J43-K43</f>
        <v>20769.870000000003</v>
      </c>
      <c r="M43" s="67">
        <v>31679</v>
      </c>
      <c r="N43" s="158">
        <f>+J43-M43</f>
        <v>39871.08</v>
      </c>
      <c r="P43" s="72" t="s">
        <v>43</v>
      </c>
      <c r="Q43" s="67">
        <v>67928.69</v>
      </c>
      <c r="R43" s="67">
        <v>71550.08</v>
      </c>
      <c r="S43" s="67">
        <f>+Q43-R43</f>
        <v>-3621.3899999999994</v>
      </c>
      <c r="T43" s="67">
        <v>31679</v>
      </c>
      <c r="U43" s="158">
        <f>+Q43-T43</f>
        <v>36249.69</v>
      </c>
      <c r="W43" s="72" t="s">
        <v>43</v>
      </c>
      <c r="X43" s="67">
        <v>58973.45</v>
      </c>
      <c r="Y43" s="67">
        <v>67928.69</v>
      </c>
      <c r="Z43" s="67">
        <v>-8955.240000000005</v>
      </c>
      <c r="AA43" s="67">
        <v>31679</v>
      </c>
      <c r="AB43" s="158">
        <v>27294.449999999997</v>
      </c>
    </row>
    <row r="44" spans="2:28" ht="18.75" thickBot="1">
      <c r="B44" s="68" t="s">
        <v>106</v>
      </c>
      <c r="C44" s="76">
        <f>SUM(C39:C43)</f>
        <v>2941218.2699999996</v>
      </c>
      <c r="D44" s="76">
        <f>SUM(D39:D43)</f>
        <v>7647699</v>
      </c>
      <c r="E44" s="76">
        <f>SUM(E39:E43)</f>
        <v>-4706480.7299999995</v>
      </c>
      <c r="F44" s="76">
        <f>SUM(F39:F43)</f>
        <v>7647699</v>
      </c>
      <c r="G44" s="160">
        <f>SUM(G39:G43)</f>
        <v>-4706480.7299999995</v>
      </c>
      <c r="I44" s="68" t="s">
        <v>106</v>
      </c>
      <c r="J44" s="76">
        <f>SUM(J39:J43)</f>
        <v>5845282.41</v>
      </c>
      <c r="K44" s="76">
        <f>SUM(K39:K43)</f>
        <v>2941218.2699999996</v>
      </c>
      <c r="L44" s="76">
        <f>SUM(L39:L43)</f>
        <v>2904064.1400000006</v>
      </c>
      <c r="M44" s="76">
        <f>SUM(M39:M43)</f>
        <v>7647699</v>
      </c>
      <c r="N44" s="160">
        <f>SUM(N39:N43)</f>
        <v>-1802416.5899999999</v>
      </c>
      <c r="P44" s="262" t="s">
        <v>106</v>
      </c>
      <c r="Q44" s="263">
        <f>SUM(Q39:Q43)</f>
        <v>4426202.74</v>
      </c>
      <c r="R44" s="263">
        <f>SUM(R39:R43)</f>
        <v>5845282.41</v>
      </c>
      <c r="S44" s="264">
        <f>SUM(S39:S43)</f>
        <v>-1419079.6699999997</v>
      </c>
      <c r="T44" s="263">
        <f>SUM(T39:T43)</f>
        <v>7647699</v>
      </c>
      <c r="U44" s="265">
        <f>SUM(U39:U43)</f>
        <v>-3221496.26</v>
      </c>
      <c r="W44" s="262" t="s">
        <v>106</v>
      </c>
      <c r="X44" s="263">
        <v>4317832.62</v>
      </c>
      <c r="Y44" s="263">
        <v>4426202.74</v>
      </c>
      <c r="Z44" s="264">
        <v>-108370.12000000033</v>
      </c>
      <c r="AA44" s="263">
        <v>7647699</v>
      </c>
      <c r="AB44" s="265">
        <v>-3329866.38</v>
      </c>
    </row>
    <row r="45" spans="2:28" ht="18.75" thickTop="1">
      <c r="B45" s="75"/>
      <c r="C45" s="20"/>
      <c r="D45" s="20"/>
      <c r="E45" s="20"/>
      <c r="F45" s="20"/>
      <c r="G45" s="162"/>
      <c r="I45" s="75"/>
      <c r="J45" s="20"/>
      <c r="K45" s="20"/>
      <c r="L45" s="20"/>
      <c r="M45" s="20"/>
      <c r="N45" s="162"/>
      <c r="P45" s="75"/>
      <c r="Q45" s="20"/>
      <c r="R45" s="20"/>
      <c r="S45" s="20"/>
      <c r="T45" s="20"/>
      <c r="U45" s="162"/>
      <c r="W45" s="75"/>
      <c r="X45" s="20"/>
      <c r="Y45" s="20"/>
      <c r="Z45" s="20"/>
      <c r="AA45" s="20"/>
      <c r="AB45" s="162"/>
    </row>
    <row r="46" spans="2:28" ht="18">
      <c r="B46" s="72"/>
      <c r="C46" s="16"/>
      <c r="D46" s="16"/>
      <c r="E46" s="16"/>
      <c r="F46" s="16"/>
      <c r="G46" s="161"/>
      <c r="I46" s="72"/>
      <c r="J46" s="16"/>
      <c r="K46" s="16"/>
      <c r="L46" s="16"/>
      <c r="M46" s="16"/>
      <c r="N46" s="161"/>
      <c r="P46" s="72"/>
      <c r="Q46" s="16"/>
      <c r="R46" s="16"/>
      <c r="S46" s="16"/>
      <c r="T46" s="16"/>
      <c r="U46" s="161"/>
      <c r="W46" s="72"/>
      <c r="X46" s="16"/>
      <c r="Y46" s="16"/>
      <c r="Z46" s="16"/>
      <c r="AA46" s="16"/>
      <c r="AB46" s="161"/>
    </row>
    <row r="47" spans="2:28" ht="18">
      <c r="B47" s="72" t="s">
        <v>44</v>
      </c>
      <c r="C47" s="16">
        <v>42008.47</v>
      </c>
      <c r="D47" s="16">
        <v>42008.47</v>
      </c>
      <c r="E47" s="67">
        <f>+C47-D47</f>
        <v>0</v>
      </c>
      <c r="F47" s="16">
        <v>42008.47</v>
      </c>
      <c r="G47" s="158">
        <f>+C47-F47</f>
        <v>0</v>
      </c>
      <c r="I47" s="72" t="s">
        <v>44</v>
      </c>
      <c r="J47" s="16">
        <v>42008.47</v>
      </c>
      <c r="K47" s="16">
        <v>42008.47</v>
      </c>
      <c r="L47" s="67">
        <f>+J47-K47</f>
        <v>0</v>
      </c>
      <c r="M47" s="16">
        <v>42008.47</v>
      </c>
      <c r="N47" s="158">
        <f>+J47-M47</f>
        <v>0</v>
      </c>
      <c r="P47" s="72" t="s">
        <v>44</v>
      </c>
      <c r="Q47" s="16">
        <v>42008.47</v>
      </c>
      <c r="R47" s="16">
        <v>42008.47</v>
      </c>
      <c r="S47" s="67">
        <f>+Q47-R47</f>
        <v>0</v>
      </c>
      <c r="T47" s="16">
        <v>42008.47</v>
      </c>
      <c r="U47" s="158">
        <f>+Q47-T47</f>
        <v>0</v>
      </c>
      <c r="W47" s="72" t="s">
        <v>44</v>
      </c>
      <c r="X47" s="16">
        <v>42008.47</v>
      </c>
      <c r="Y47" s="16">
        <v>42008.47</v>
      </c>
      <c r="Z47" s="67">
        <v>0</v>
      </c>
      <c r="AA47" s="16">
        <v>42008.47</v>
      </c>
      <c r="AB47" s="158">
        <v>0</v>
      </c>
    </row>
    <row r="48" spans="2:28" ht="18">
      <c r="B48" s="72" t="s">
        <v>48</v>
      </c>
      <c r="C48" s="16">
        <v>25266807.2</v>
      </c>
      <c r="D48" s="16">
        <v>25266807</v>
      </c>
      <c r="E48" s="67">
        <f>+C48-D48</f>
        <v>0.19999999925494194</v>
      </c>
      <c r="F48" s="16">
        <v>25266807</v>
      </c>
      <c r="G48" s="158">
        <f>+C48-F48</f>
        <v>0.19999999925494194</v>
      </c>
      <c r="I48" s="72" t="s">
        <v>48</v>
      </c>
      <c r="J48" s="16">
        <v>25266807.2</v>
      </c>
      <c r="K48" s="16">
        <v>25266807.2</v>
      </c>
      <c r="L48" s="67">
        <f>+J48-K48</f>
        <v>0</v>
      </c>
      <c r="M48" s="16">
        <v>25266807</v>
      </c>
      <c r="N48" s="158">
        <f>+J48-M48</f>
        <v>0.19999999925494194</v>
      </c>
      <c r="P48" s="72" t="s">
        <v>48</v>
      </c>
      <c r="Q48" s="16">
        <v>25266807.2</v>
      </c>
      <c r="R48" s="16">
        <v>25266807.2</v>
      </c>
      <c r="S48" s="67">
        <f>+Q48-R48</f>
        <v>0</v>
      </c>
      <c r="T48" s="16">
        <v>25266807</v>
      </c>
      <c r="U48" s="158">
        <f>+Q48-T48</f>
        <v>0.19999999925494194</v>
      </c>
      <c r="W48" s="72" t="s">
        <v>299</v>
      </c>
      <c r="X48" s="16">
        <v>29242375.2</v>
      </c>
      <c r="Y48" s="16">
        <v>25266807.2</v>
      </c>
      <c r="Z48" s="67">
        <v>3975568</v>
      </c>
      <c r="AA48" s="16">
        <v>25266807</v>
      </c>
      <c r="AB48" s="158">
        <v>3975568.1999999993</v>
      </c>
    </row>
    <row r="49" spans="2:28" ht="18">
      <c r="B49" s="72" t="s">
        <v>56</v>
      </c>
      <c r="C49" s="67">
        <v>74311506.04</v>
      </c>
      <c r="D49" s="16">
        <v>29872679</v>
      </c>
      <c r="E49" s="67">
        <f>+C49-D49</f>
        <v>44438827.04000001</v>
      </c>
      <c r="F49" s="16">
        <v>29872679</v>
      </c>
      <c r="G49" s="158">
        <f>+C49-F49</f>
        <v>44438827.04000001</v>
      </c>
      <c r="I49" s="72" t="s">
        <v>56</v>
      </c>
      <c r="J49" s="16">
        <v>74311506.04</v>
      </c>
      <c r="K49" s="16">
        <v>74311506.04</v>
      </c>
      <c r="L49" s="67">
        <f>+J49-K49</f>
        <v>0</v>
      </c>
      <c r="M49" s="16">
        <v>29872679</v>
      </c>
      <c r="N49" s="158">
        <f>+J49-M49</f>
        <v>44438827.04000001</v>
      </c>
      <c r="P49" s="72" t="s">
        <v>56</v>
      </c>
      <c r="Q49" s="16">
        <v>74311506.04</v>
      </c>
      <c r="R49" s="16">
        <v>74311506.04</v>
      </c>
      <c r="S49" s="67">
        <f>+Q49-R49</f>
        <v>0</v>
      </c>
      <c r="T49" s="16">
        <v>29872679</v>
      </c>
      <c r="U49" s="158">
        <f>+Q49-T49</f>
        <v>44438827.04000001</v>
      </c>
      <c r="W49" s="72" t="s">
        <v>56</v>
      </c>
      <c r="X49" s="16">
        <v>74311506.04</v>
      </c>
      <c r="Y49" s="16">
        <v>74311506.04</v>
      </c>
      <c r="Z49" s="67">
        <v>0</v>
      </c>
      <c r="AA49" s="16">
        <v>29872679</v>
      </c>
      <c r="AB49" s="158">
        <v>44438827.04000001</v>
      </c>
    </row>
    <row r="50" spans="2:28" ht="18">
      <c r="B50" s="72" t="s">
        <v>92</v>
      </c>
      <c r="C50" s="77">
        <v>13216209</v>
      </c>
      <c r="D50" s="16">
        <v>44438827</v>
      </c>
      <c r="E50" s="67">
        <f>+C50-D50-1</f>
        <v>-31222619</v>
      </c>
      <c r="F50" s="16">
        <v>44438827</v>
      </c>
      <c r="G50" s="158">
        <f>+C50-F50-1</f>
        <v>-31222619</v>
      </c>
      <c r="I50" s="72" t="s">
        <v>92</v>
      </c>
      <c r="J50" s="16">
        <v>30239974</v>
      </c>
      <c r="K50" s="16">
        <v>13216209</v>
      </c>
      <c r="L50" s="67">
        <f>+J50-K50-1</f>
        <v>17023764</v>
      </c>
      <c r="M50" s="16">
        <v>44438827</v>
      </c>
      <c r="N50" s="158">
        <f>+J50-M50-1</f>
        <v>-14198854</v>
      </c>
      <c r="P50" s="72" t="s">
        <v>92</v>
      </c>
      <c r="Q50" s="16">
        <v>77614839</v>
      </c>
      <c r="R50" s="16">
        <v>30239974</v>
      </c>
      <c r="S50" s="67">
        <f>+Q50-R50-1</f>
        <v>47374864</v>
      </c>
      <c r="T50" s="16">
        <v>44438827</v>
      </c>
      <c r="U50" s="158">
        <f>+Q50-T50-1</f>
        <v>33176011</v>
      </c>
      <c r="W50" s="72" t="s">
        <v>92</v>
      </c>
      <c r="X50" s="16">
        <v>36503067</v>
      </c>
      <c r="Y50" s="16">
        <v>77614839</v>
      </c>
      <c r="Z50" s="67">
        <v>-41111773</v>
      </c>
      <c r="AA50" s="16">
        <v>44438827</v>
      </c>
      <c r="AB50" s="158">
        <v>-7935761</v>
      </c>
    </row>
    <row r="51" spans="2:28" ht="18.75" thickBot="1">
      <c r="B51" s="68" t="s">
        <v>91</v>
      </c>
      <c r="C51" s="17">
        <f>SUM(C47:C50)-2</f>
        <v>112836528.71000001</v>
      </c>
      <c r="D51" s="17">
        <f>SUM(D47:D50)</f>
        <v>99620321.47</v>
      </c>
      <c r="E51" s="69">
        <f>SUM(E47:E50)</f>
        <v>13216208.24000001</v>
      </c>
      <c r="F51" s="17">
        <f>SUM(F47:F50)</f>
        <v>99620321.47</v>
      </c>
      <c r="G51" s="160">
        <f>SUM(G47:G50)</f>
        <v>13216208.24000001</v>
      </c>
      <c r="I51" s="68" t="s">
        <v>91</v>
      </c>
      <c r="J51" s="17">
        <f>SUM(J47:J50)</f>
        <v>129860295.71000001</v>
      </c>
      <c r="K51" s="17">
        <f>SUM(K47:K50)-2</f>
        <v>112836528.71000001</v>
      </c>
      <c r="L51" s="69">
        <f>SUM(L47:L50)</f>
        <v>17023764</v>
      </c>
      <c r="M51" s="17">
        <f>SUM(M47:M50)</f>
        <v>99620321.47</v>
      </c>
      <c r="N51" s="160">
        <f>SUM(N47:N50)</f>
        <v>30239973.24000001</v>
      </c>
      <c r="P51" s="262" t="s">
        <v>91</v>
      </c>
      <c r="Q51" s="263">
        <f>SUM(Q47:Q50)+1</f>
        <v>177235161.71</v>
      </c>
      <c r="R51" s="263">
        <f>SUM(R47:R50)</f>
        <v>129860295.71000001</v>
      </c>
      <c r="S51" s="264">
        <f>SUM(S47:S50)-3</f>
        <v>47374861</v>
      </c>
      <c r="T51" s="263">
        <f>SUM(T47:T50)</f>
        <v>99620321.47</v>
      </c>
      <c r="U51" s="265">
        <f>SUM(U47:U50)</f>
        <v>77614838.24000001</v>
      </c>
      <c r="W51" s="262" t="s">
        <v>91</v>
      </c>
      <c r="X51" s="263">
        <v>140098957.71</v>
      </c>
      <c r="Y51" s="263">
        <v>177235161.71</v>
      </c>
      <c r="Z51" s="264">
        <v>-37136208</v>
      </c>
      <c r="AA51" s="263">
        <v>99620321.47</v>
      </c>
      <c r="AB51" s="265">
        <v>40478634.24000001</v>
      </c>
    </row>
    <row r="52" spans="2:28" ht="18.75" thickTop="1">
      <c r="B52" s="75"/>
      <c r="C52" s="20"/>
      <c r="D52" s="20"/>
      <c r="E52" s="20"/>
      <c r="F52" s="20"/>
      <c r="G52" s="162"/>
      <c r="I52" s="75"/>
      <c r="J52" s="20"/>
      <c r="K52" s="20"/>
      <c r="L52" s="20"/>
      <c r="M52" s="20"/>
      <c r="N52" s="162"/>
      <c r="P52" s="75"/>
      <c r="Q52" s="20"/>
      <c r="R52" s="20"/>
      <c r="S52" s="20"/>
      <c r="T52" s="20"/>
      <c r="U52" s="162"/>
      <c r="W52" s="75"/>
      <c r="X52" s="20"/>
      <c r="Y52" s="20"/>
      <c r="Z52" s="20"/>
      <c r="AA52" s="20"/>
      <c r="AB52" s="162"/>
    </row>
    <row r="53" spans="2:28" ht="18.75" thickBot="1">
      <c r="B53" s="72"/>
      <c r="C53" s="16"/>
      <c r="D53" s="16"/>
      <c r="E53" s="16"/>
      <c r="F53" s="16"/>
      <c r="G53" s="161"/>
      <c r="I53" s="72"/>
      <c r="J53" s="16"/>
      <c r="K53" s="16"/>
      <c r="L53" s="16"/>
      <c r="M53" s="16"/>
      <c r="N53" s="161"/>
      <c r="P53" s="72"/>
      <c r="Q53" s="16"/>
      <c r="R53" s="16"/>
      <c r="S53" s="16"/>
      <c r="T53" s="16"/>
      <c r="U53" s="161"/>
      <c r="W53" s="72"/>
      <c r="X53" s="16"/>
      <c r="Y53" s="16"/>
      <c r="Z53" s="16"/>
      <c r="AA53" s="16"/>
      <c r="AB53" s="161"/>
    </row>
    <row r="54" spans="2:28" ht="19.5" thickBot="1" thickTop="1">
      <c r="B54" s="78" t="s">
        <v>107</v>
      </c>
      <c r="C54" s="79">
        <f>+C51+C44+2</f>
        <v>115777748.98</v>
      </c>
      <c r="D54" s="79">
        <f>+D51+D44</f>
        <v>107268020.47</v>
      </c>
      <c r="E54" s="80">
        <f>+E51+E44</f>
        <v>8509727.51000001</v>
      </c>
      <c r="F54" s="79">
        <f>+F51+F44-2</f>
        <v>107268018.47</v>
      </c>
      <c r="G54" s="163">
        <f>+G51+G44</f>
        <v>8509727.51000001</v>
      </c>
      <c r="I54" s="78" t="s">
        <v>107</v>
      </c>
      <c r="J54" s="79">
        <f>+J51+J44+2</f>
        <v>135705580.12</v>
      </c>
      <c r="K54" s="79">
        <f>+K51+K44+2</f>
        <v>115777748.98</v>
      </c>
      <c r="L54" s="80">
        <f>+L51+L44+3</f>
        <v>19927831.14</v>
      </c>
      <c r="M54" s="79">
        <f>+M51+M44+1</f>
        <v>107268021.47</v>
      </c>
      <c r="N54" s="163">
        <f>+N51+N44+2</f>
        <v>28437558.65000001</v>
      </c>
      <c r="P54" s="258" t="s">
        <v>107</v>
      </c>
      <c r="Q54" s="259">
        <f>+Q51+Q44</f>
        <v>181661364.45000002</v>
      </c>
      <c r="R54" s="259">
        <f>+R51+R44+2</f>
        <v>135705580.12</v>
      </c>
      <c r="S54" s="260">
        <f>+S51+S44+3</f>
        <v>45955784.33</v>
      </c>
      <c r="T54" s="259">
        <f>+T51+T44+1</f>
        <v>107268021.47</v>
      </c>
      <c r="U54" s="261">
        <f>+U51+U44</f>
        <v>74393341.98</v>
      </c>
      <c r="W54" s="258" t="s">
        <v>107</v>
      </c>
      <c r="X54" s="259">
        <v>144416790.33</v>
      </c>
      <c r="Y54" s="259">
        <v>181661364.45000002</v>
      </c>
      <c r="Z54" s="260">
        <v>-37244574.12</v>
      </c>
      <c r="AA54" s="259">
        <v>107268021.47</v>
      </c>
      <c r="AB54" s="261">
        <v>37148767.86000001</v>
      </c>
    </row>
    <row r="55" ht="18.75" thickTop="1"/>
    <row r="56" spans="24:28" ht="18">
      <c r="X56" s="25"/>
      <c r="Y56" s="25"/>
      <c r="Z56" s="25"/>
      <c r="AA56" s="25"/>
      <c r="AB56" s="25"/>
    </row>
  </sheetData>
  <sheetProtection/>
  <mergeCells count="12">
    <mergeCell ref="W1:AB1"/>
    <mergeCell ref="W2:AB2"/>
    <mergeCell ref="W3:AB3"/>
    <mergeCell ref="P1:U1"/>
    <mergeCell ref="P2:U2"/>
    <mergeCell ref="P3:U3"/>
    <mergeCell ref="B1:G1"/>
    <mergeCell ref="B2:G2"/>
    <mergeCell ref="B3:G3"/>
    <mergeCell ref="I1:N1"/>
    <mergeCell ref="I2:N2"/>
    <mergeCell ref="I3:N3"/>
  </mergeCells>
  <printOptions horizontalCentered="1"/>
  <pageMargins left="0.22" right="0.17" top="0.18" bottom="0.22" header="0" footer="0"/>
  <pageSetup horizontalDpi="600" verticalDpi="600" orientation="portrait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</sheetPr>
  <dimension ref="B2:J1714"/>
  <sheetViews>
    <sheetView zoomScalePageLayoutView="0" workbookViewId="0" topLeftCell="A1">
      <selection activeCell="A18" sqref="A18"/>
    </sheetView>
  </sheetViews>
  <sheetFormatPr defaultColWidth="10.00390625" defaultRowHeight="15.75"/>
  <cols>
    <col min="1" max="3" width="10.00390625" style="81" customWidth="1"/>
    <col min="4" max="4" width="12.25390625" style="81" customWidth="1"/>
    <col min="5" max="5" width="11.375" style="81" customWidth="1"/>
    <col min="6" max="6" width="16.375" style="82" customWidth="1"/>
    <col min="7" max="7" width="16.50390625" style="81" customWidth="1"/>
    <col min="8" max="8" width="15.625" style="82" customWidth="1"/>
    <col min="9" max="9" width="14.00390625" style="81" customWidth="1"/>
    <col min="10" max="10" width="18.125" style="81" customWidth="1"/>
    <col min="11" max="16384" width="10.00390625" style="81" customWidth="1"/>
  </cols>
  <sheetData>
    <row r="1" ht="15.75" thickBot="1"/>
    <row r="2" spans="2:8" s="222" customFormat="1" ht="31.5" customHeight="1">
      <c r="B2" s="400" t="s">
        <v>197</v>
      </c>
      <c r="C2" s="401"/>
      <c r="D2" s="401"/>
      <c r="E2" s="401"/>
      <c r="F2" s="401"/>
      <c r="G2" s="401"/>
      <c r="H2" s="402"/>
    </row>
    <row r="3" spans="2:8" ht="18">
      <c r="B3" s="403" t="s">
        <v>225</v>
      </c>
      <c r="C3" s="381"/>
      <c r="D3" s="381"/>
      <c r="E3" s="381"/>
      <c r="F3" s="381"/>
      <c r="G3" s="381"/>
      <c r="H3" s="404"/>
    </row>
    <row r="4" spans="2:8" ht="18.75" thickBot="1">
      <c r="B4" s="405" t="s">
        <v>300</v>
      </c>
      <c r="C4" s="406"/>
      <c r="D4" s="406"/>
      <c r="E4" s="406"/>
      <c r="F4" s="406"/>
      <c r="G4" s="406"/>
      <c r="H4" s="407"/>
    </row>
    <row r="6" spans="2:8" ht="15" hidden="1">
      <c r="B6" s="83" t="s">
        <v>150</v>
      </c>
      <c r="C6" s="83"/>
      <c r="D6" s="83"/>
      <c r="E6" s="83"/>
      <c r="F6" s="83"/>
      <c r="G6" s="84">
        <v>0</v>
      </c>
      <c r="H6" s="84"/>
    </row>
    <row r="7" spans="2:8" ht="15" hidden="1">
      <c r="B7" s="85" t="s">
        <v>151</v>
      </c>
      <c r="C7" s="85"/>
      <c r="D7" s="85"/>
      <c r="E7" s="85"/>
      <c r="F7" s="85"/>
      <c r="G7" s="86">
        <v>0</v>
      </c>
      <c r="H7" s="86"/>
    </row>
    <row r="8" spans="2:8" ht="16.5" thickBot="1">
      <c r="B8" s="267" t="s">
        <v>120</v>
      </c>
      <c r="C8" s="267"/>
      <c r="D8" s="267"/>
      <c r="E8" s="267"/>
      <c r="F8" s="267"/>
      <c r="G8" s="268"/>
      <c r="H8" s="269">
        <v>150129575</v>
      </c>
    </row>
    <row r="9" ht="15.75" thickTop="1"/>
    <row r="10" spans="2:8" ht="15">
      <c r="B10" s="210" t="s">
        <v>94</v>
      </c>
      <c r="C10" s="211"/>
      <c r="D10" s="211"/>
      <c r="E10" s="87"/>
      <c r="F10" s="88"/>
      <c r="G10" s="87"/>
      <c r="H10" s="88"/>
    </row>
    <row r="12" spans="2:8" ht="16.5">
      <c r="B12" s="89" t="s">
        <v>152</v>
      </c>
      <c r="H12" s="90">
        <f>F13+F14</f>
        <v>64093496</v>
      </c>
    </row>
    <row r="13" spans="2:6" ht="15">
      <c r="B13" s="81" t="s">
        <v>181</v>
      </c>
      <c r="F13" s="91">
        <v>64093496</v>
      </c>
    </row>
    <row r="14" spans="2:6" ht="15" hidden="1">
      <c r="B14" s="81" t="s">
        <v>176</v>
      </c>
      <c r="F14" s="97">
        <v>0</v>
      </c>
    </row>
    <row r="15" spans="2:6" ht="15" hidden="1">
      <c r="B15" s="81" t="s">
        <v>159</v>
      </c>
      <c r="F15" s="91">
        <v>0</v>
      </c>
    </row>
    <row r="16" spans="2:6" ht="15" hidden="1">
      <c r="B16" s="81" t="s">
        <v>154</v>
      </c>
      <c r="F16" s="91">
        <v>0</v>
      </c>
    </row>
    <row r="17" spans="2:6" ht="15" hidden="1">
      <c r="B17" s="81" t="s">
        <v>155</v>
      </c>
      <c r="F17" s="91">
        <v>0</v>
      </c>
    </row>
    <row r="18" ht="15">
      <c r="F18" s="91"/>
    </row>
    <row r="19" spans="2:8" ht="16.5" thickBot="1">
      <c r="B19" s="267" t="s">
        <v>164</v>
      </c>
      <c r="C19" s="267"/>
      <c r="D19" s="267"/>
      <c r="E19" s="267"/>
      <c r="F19" s="267"/>
      <c r="G19" s="268"/>
      <c r="H19" s="284">
        <f>H8+H12</f>
        <v>214223071</v>
      </c>
    </row>
    <row r="20" ht="15.75" thickTop="1"/>
    <row r="21" spans="2:4" ht="15">
      <c r="B21" s="210" t="s">
        <v>95</v>
      </c>
      <c r="C21" s="211"/>
      <c r="D21" s="211"/>
    </row>
    <row r="23" spans="2:7" ht="16.5">
      <c r="B23" s="89" t="s">
        <v>156</v>
      </c>
      <c r="G23" s="92">
        <f>SUM(F24:F27)-1</f>
        <v>102407668</v>
      </c>
    </row>
    <row r="24" spans="2:8" ht="15">
      <c r="B24" s="81" t="s">
        <v>131</v>
      </c>
      <c r="F24" s="93">
        <v>34657876</v>
      </c>
      <c r="H24" s="92"/>
    </row>
    <row r="25" spans="2:8" ht="15">
      <c r="B25" s="81" t="s">
        <v>98</v>
      </c>
      <c r="F25" s="93">
        <v>33024199</v>
      </c>
      <c r="H25" s="92"/>
    </row>
    <row r="26" spans="2:10" ht="15">
      <c r="B26" s="81" t="s">
        <v>99</v>
      </c>
      <c r="F26" s="93">
        <v>18206304</v>
      </c>
      <c r="H26" s="92"/>
      <c r="J26" s="100"/>
    </row>
    <row r="27" spans="2:8" ht="15">
      <c r="B27" s="81" t="s">
        <v>100</v>
      </c>
      <c r="F27" s="94">
        <v>16519290</v>
      </c>
      <c r="H27" s="92"/>
    </row>
    <row r="28" spans="6:8" ht="15">
      <c r="F28" s="81"/>
      <c r="H28" s="92"/>
    </row>
    <row r="29" spans="2:7" ht="16.5">
      <c r="B29" s="89" t="s">
        <v>113</v>
      </c>
      <c r="F29" s="81"/>
      <c r="G29" s="92">
        <f>SUM(F31:F33)</f>
        <v>15866589.299999999</v>
      </c>
    </row>
    <row r="30" spans="2:8" ht="15">
      <c r="B30" s="95"/>
      <c r="F30" s="81"/>
      <c r="G30" s="92"/>
      <c r="H30" s="92"/>
    </row>
    <row r="31" spans="2:8" ht="15">
      <c r="B31" s="81" t="s">
        <v>96</v>
      </c>
      <c r="F31" s="93">
        <v>15446521.7</v>
      </c>
      <c r="H31" s="92"/>
    </row>
    <row r="32" spans="2:8" ht="15">
      <c r="B32" s="81" t="s">
        <v>97</v>
      </c>
      <c r="F32" s="266">
        <v>420067.6</v>
      </c>
      <c r="H32" s="92"/>
    </row>
    <row r="33" spans="2:8" ht="15">
      <c r="B33" s="81" t="s">
        <v>69</v>
      </c>
      <c r="F33" s="96"/>
      <c r="H33" s="92"/>
    </row>
    <row r="34" spans="6:8" ht="15">
      <c r="F34" s="81"/>
      <c r="H34" s="92"/>
    </row>
    <row r="35" spans="2:8" ht="16.5" thickBot="1">
      <c r="B35" s="267" t="s">
        <v>157</v>
      </c>
      <c r="C35" s="267"/>
      <c r="D35" s="267"/>
      <c r="E35" s="267"/>
      <c r="F35" s="267"/>
      <c r="G35" s="268"/>
      <c r="H35" s="284">
        <f>+G23+G29+1</f>
        <v>118274258.3</v>
      </c>
    </row>
    <row r="36" ht="15.75" thickTop="1"/>
    <row r="38" spans="2:8" ht="17.25" customHeight="1" thickBot="1">
      <c r="B38" s="408" t="s">
        <v>158</v>
      </c>
      <c r="C38" s="408"/>
      <c r="D38" s="408"/>
      <c r="E38" s="408"/>
      <c r="F38" s="270"/>
      <c r="G38" s="271"/>
      <c r="H38" s="284">
        <f>H19-H35-1</f>
        <v>95948811.7</v>
      </c>
    </row>
    <row r="39" spans="3:8" ht="15.75" thickTop="1">
      <c r="C39" s="81" t="s">
        <v>138</v>
      </c>
      <c r="H39" s="91" t="s">
        <v>138</v>
      </c>
    </row>
    <row r="40" spans="2:8" ht="16.5" thickBot="1">
      <c r="B40" s="267" t="s">
        <v>165</v>
      </c>
      <c r="C40" s="267"/>
      <c r="D40" s="267"/>
      <c r="E40" s="267"/>
      <c r="F40" s="267"/>
      <c r="G40" s="268"/>
      <c r="H40" s="284">
        <f>F42+F43+F44</f>
        <v>525269</v>
      </c>
    </row>
    <row r="41" spans="3:8" ht="15.75" thickTop="1">
      <c r="C41" s="81" t="s">
        <v>138</v>
      </c>
      <c r="H41" s="81"/>
    </row>
    <row r="42" spans="2:6" ht="15">
      <c r="B42" s="81" t="s">
        <v>49</v>
      </c>
      <c r="F42" s="97">
        <v>501048</v>
      </c>
    </row>
    <row r="43" spans="2:6" ht="15">
      <c r="B43" s="81" t="s">
        <v>126</v>
      </c>
      <c r="F43" s="97">
        <v>0</v>
      </c>
    </row>
    <row r="44" spans="2:8" ht="15.75" thickBot="1">
      <c r="B44" s="81" t="s">
        <v>67</v>
      </c>
      <c r="F44" s="98">
        <v>24221</v>
      </c>
      <c r="H44" s="81"/>
    </row>
    <row r="46" ht="15">
      <c r="B46" s="81" t="s">
        <v>138</v>
      </c>
    </row>
    <row r="47" spans="2:8" ht="16.5" thickBot="1">
      <c r="B47" s="270" t="s">
        <v>168</v>
      </c>
      <c r="C47" s="270"/>
      <c r="D47" s="270"/>
      <c r="E47" s="270"/>
      <c r="F47" s="270"/>
      <c r="G47" s="271"/>
      <c r="H47" s="283">
        <f>F49-F60-F72</f>
        <v>108263</v>
      </c>
    </row>
    <row r="48" ht="15.75" thickTop="1"/>
    <row r="49" spans="2:6" ht="16.5" customHeight="1">
      <c r="B49" s="89" t="s">
        <v>169</v>
      </c>
      <c r="F49" s="90">
        <f>SUM(E51:E58)</f>
        <v>258703</v>
      </c>
    </row>
    <row r="50" spans="2:5" ht="15" hidden="1">
      <c r="B50" s="81" t="s">
        <v>139</v>
      </c>
      <c r="E50" s="91"/>
    </row>
    <row r="51" spans="2:5" ht="15">
      <c r="B51" s="81" t="s">
        <v>140</v>
      </c>
      <c r="E51" s="122">
        <v>245140</v>
      </c>
    </row>
    <row r="52" spans="2:6" ht="15" hidden="1">
      <c r="B52" s="81" t="s">
        <v>238</v>
      </c>
      <c r="E52" s="122"/>
      <c r="F52" s="91"/>
    </row>
    <row r="53" spans="2:5" ht="15" hidden="1">
      <c r="B53" s="81" t="s">
        <v>147</v>
      </c>
      <c r="E53" s="122"/>
    </row>
    <row r="54" spans="2:5" ht="15" hidden="1">
      <c r="B54" s="81" t="s">
        <v>133</v>
      </c>
      <c r="E54" s="122"/>
    </row>
    <row r="55" spans="2:5" ht="15" hidden="1">
      <c r="B55" s="81" t="s">
        <v>141</v>
      </c>
      <c r="E55" s="122"/>
    </row>
    <row r="56" spans="2:6" ht="15" hidden="1">
      <c r="B56" s="81" t="s">
        <v>182</v>
      </c>
      <c r="E56" s="123"/>
      <c r="F56" s="81"/>
    </row>
    <row r="57" spans="2:5" ht="15">
      <c r="B57" s="81" t="s">
        <v>144</v>
      </c>
      <c r="E57" s="122">
        <v>13563</v>
      </c>
    </row>
    <row r="58" spans="2:5" ht="15" hidden="1">
      <c r="B58" s="81" t="s">
        <v>142</v>
      </c>
      <c r="E58" s="122"/>
    </row>
    <row r="59" spans="5:10" ht="15.75">
      <c r="E59" s="122"/>
      <c r="J59" s="99"/>
    </row>
    <row r="60" spans="2:10" ht="16.5">
      <c r="B60" s="89" t="s">
        <v>170</v>
      </c>
      <c r="E60" s="87"/>
      <c r="F60" s="90">
        <f>SUM(E61:E70)</f>
        <v>150440</v>
      </c>
      <c r="J60" s="100"/>
    </row>
    <row r="61" spans="2:6" ht="15">
      <c r="B61" s="81" t="s">
        <v>140</v>
      </c>
      <c r="E61" s="123">
        <v>15000</v>
      </c>
      <c r="F61" s="121"/>
    </row>
    <row r="62" spans="2:5" ht="15" hidden="1">
      <c r="B62" s="81" t="s">
        <v>139</v>
      </c>
      <c r="E62" s="122"/>
    </row>
    <row r="63" spans="2:5" ht="15" hidden="1">
      <c r="B63" s="81" t="s">
        <v>140</v>
      </c>
      <c r="E63" s="122"/>
    </row>
    <row r="64" spans="2:6" ht="15">
      <c r="B64" s="81" t="s">
        <v>238</v>
      </c>
      <c r="E64" s="122">
        <v>13507</v>
      </c>
      <c r="F64" s="91"/>
    </row>
    <row r="65" spans="2:5" ht="15" hidden="1">
      <c r="B65" s="81" t="s">
        <v>147</v>
      </c>
      <c r="E65" s="122"/>
    </row>
    <row r="66" spans="2:5" ht="15" hidden="1">
      <c r="B66" s="81" t="s">
        <v>133</v>
      </c>
      <c r="E66" s="122"/>
    </row>
    <row r="67" spans="2:5" ht="15">
      <c r="B67" s="81" t="s">
        <v>141</v>
      </c>
      <c r="E67" s="122">
        <v>112978</v>
      </c>
    </row>
    <row r="68" spans="2:6" ht="15" hidden="1">
      <c r="B68" s="81" t="s">
        <v>182</v>
      </c>
      <c r="E68" s="122"/>
      <c r="F68" s="81"/>
    </row>
    <row r="69" spans="2:5" ht="15" hidden="1">
      <c r="B69" s="81" t="s">
        <v>144</v>
      </c>
      <c r="E69" s="122"/>
    </row>
    <row r="70" spans="2:5" ht="15">
      <c r="B70" s="81" t="s">
        <v>142</v>
      </c>
      <c r="E70" s="91">
        <v>8955</v>
      </c>
    </row>
    <row r="71" spans="5:10" ht="15">
      <c r="E71" s="91"/>
      <c r="J71" s="100"/>
    </row>
    <row r="72" spans="2:10" ht="15" hidden="1">
      <c r="B72" s="95" t="s">
        <v>191</v>
      </c>
      <c r="E72" s="91"/>
      <c r="F72" s="90"/>
      <c r="J72" s="100"/>
    </row>
    <row r="73" spans="5:10" ht="15">
      <c r="E73" s="91"/>
      <c r="J73" s="100"/>
    </row>
    <row r="74" spans="2:8" ht="15.75" thickBot="1">
      <c r="B74" s="267" t="s">
        <v>121</v>
      </c>
      <c r="C74" s="267"/>
      <c r="D74" s="267"/>
      <c r="E74" s="267"/>
      <c r="F74" s="267"/>
      <c r="G74" s="268"/>
      <c r="H74" s="277">
        <f>H38+H40+H47</f>
        <v>96582343.7</v>
      </c>
    </row>
    <row r="75" ht="15.75" thickTop="1"/>
    <row r="1481" ht="15">
      <c r="C1481" s="81" t="s">
        <v>138</v>
      </c>
    </row>
    <row r="1714" ht="15">
      <c r="C1714" s="81" t="s">
        <v>138</v>
      </c>
    </row>
  </sheetData>
  <sheetProtection/>
  <mergeCells count="4">
    <mergeCell ref="B2:H2"/>
    <mergeCell ref="B3:H3"/>
    <mergeCell ref="B4:H4"/>
    <mergeCell ref="B38:E38"/>
  </mergeCells>
  <printOptions/>
  <pageMargins left="1.14" right="0.25" top="0.46" bottom="0.28" header="0.2" footer="0"/>
  <pageSetup horizontalDpi="600" verticalDpi="600" orientation="portrait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</sheetPr>
  <dimension ref="A1:J1729"/>
  <sheetViews>
    <sheetView zoomScalePageLayoutView="0" workbookViewId="0" topLeftCell="A1">
      <selection activeCell="A5" sqref="A5"/>
    </sheetView>
  </sheetViews>
  <sheetFormatPr defaultColWidth="10.00390625" defaultRowHeight="15.75"/>
  <cols>
    <col min="1" max="2" width="10.00390625" style="81" customWidth="1"/>
    <col min="3" max="3" width="13.50390625" style="81" customWidth="1"/>
    <col min="4" max="4" width="13.875" style="81" customWidth="1"/>
    <col min="5" max="5" width="13.75390625" style="82" customWidth="1"/>
    <col min="6" max="6" width="15.25390625" style="81" customWidth="1"/>
    <col min="7" max="7" width="21.375" style="82" customWidth="1"/>
    <col min="8" max="8" width="14.625" style="81" customWidth="1"/>
    <col min="9" max="9" width="21.875" style="81" customWidth="1"/>
    <col min="10" max="16384" width="10.00390625" style="81" customWidth="1"/>
  </cols>
  <sheetData>
    <row r="1" spans="1:7" ht="18.75">
      <c r="A1" s="409" t="s">
        <v>197</v>
      </c>
      <c r="B1" s="410"/>
      <c r="C1" s="410"/>
      <c r="D1" s="410"/>
      <c r="E1" s="410"/>
      <c r="F1" s="410"/>
      <c r="G1" s="411"/>
    </row>
    <row r="2" spans="1:7" ht="18">
      <c r="A2" s="403" t="s">
        <v>224</v>
      </c>
      <c r="B2" s="381"/>
      <c r="C2" s="381"/>
      <c r="D2" s="381"/>
      <c r="E2" s="381"/>
      <c r="F2" s="381"/>
      <c r="G2" s="404"/>
    </row>
    <row r="3" spans="1:7" ht="18.75" thickBot="1">
      <c r="A3" s="405" t="s">
        <v>301</v>
      </c>
      <c r="B3" s="406"/>
      <c r="C3" s="406"/>
      <c r="D3" s="406"/>
      <c r="E3" s="406"/>
      <c r="F3" s="406"/>
      <c r="G3" s="407"/>
    </row>
    <row r="4" spans="1:7" ht="15">
      <c r="A4" s="101" t="s">
        <v>138</v>
      </c>
      <c r="B4" s="101"/>
      <c r="C4" s="101"/>
      <c r="D4" s="101"/>
      <c r="E4" s="102"/>
      <c r="F4" s="101"/>
      <c r="G4" s="102"/>
    </row>
    <row r="5" spans="1:7" ht="15">
      <c r="A5" s="101"/>
      <c r="B5" s="101"/>
      <c r="C5" s="101"/>
      <c r="D5" s="101"/>
      <c r="E5" s="102"/>
      <c r="F5" s="101"/>
      <c r="G5" s="102"/>
    </row>
    <row r="6" spans="1:7" ht="15" hidden="1">
      <c r="A6" s="103" t="s">
        <v>150</v>
      </c>
      <c r="B6" s="103"/>
      <c r="C6" s="103"/>
      <c r="D6" s="103"/>
      <c r="E6" s="103"/>
      <c r="F6" s="104">
        <v>0</v>
      </c>
      <c r="G6" s="104"/>
    </row>
    <row r="7" spans="1:7" ht="15" hidden="1">
      <c r="A7" s="105" t="s">
        <v>151</v>
      </c>
      <c r="B7" s="105"/>
      <c r="C7" s="105"/>
      <c r="D7" s="105"/>
      <c r="E7" s="105"/>
      <c r="F7" s="106">
        <v>0</v>
      </c>
      <c r="G7" s="106"/>
    </row>
    <row r="8" spans="1:7" ht="15.75" thickBot="1">
      <c r="A8" s="274" t="s">
        <v>93</v>
      </c>
      <c r="B8" s="274"/>
      <c r="C8" s="274"/>
      <c r="D8" s="274"/>
      <c r="E8" s="274"/>
      <c r="F8" s="275"/>
      <c r="G8" s="277">
        <v>21764275.13</v>
      </c>
    </row>
    <row r="9" spans="1:8" ht="17.25" thickTop="1">
      <c r="A9" s="101" t="s">
        <v>282</v>
      </c>
      <c r="B9" s="101"/>
      <c r="C9" s="101"/>
      <c r="D9" s="101"/>
      <c r="E9" s="102"/>
      <c r="F9" s="107" t="s">
        <v>138</v>
      </c>
      <c r="G9" s="223">
        <v>54436482</v>
      </c>
      <c r="H9" s="148"/>
    </row>
    <row r="10" spans="1:7" ht="15.75" thickBot="1">
      <c r="A10" s="274" t="s">
        <v>283</v>
      </c>
      <c r="B10" s="274"/>
      <c r="C10" s="274"/>
      <c r="D10" s="274"/>
      <c r="E10" s="274"/>
      <c r="F10" s="275"/>
      <c r="G10" s="276">
        <f>G8-G9</f>
        <v>-32672206.87</v>
      </c>
    </row>
    <row r="11" spans="1:7" ht="15.75" thickTop="1">
      <c r="A11" s="101"/>
      <c r="B11" s="101"/>
      <c r="C11" s="101"/>
      <c r="D11" s="101"/>
      <c r="E11" s="102"/>
      <c r="F11" s="101"/>
      <c r="G11" s="224"/>
    </row>
    <row r="12" spans="1:7" ht="15">
      <c r="A12" s="212" t="s">
        <v>94</v>
      </c>
      <c r="B12" s="213"/>
      <c r="C12" s="213"/>
      <c r="D12" s="108"/>
      <c r="E12" s="109"/>
      <c r="F12" s="108"/>
      <c r="G12" s="225"/>
    </row>
    <row r="13" spans="1:9" ht="15">
      <c r="A13" s="101"/>
      <c r="B13" s="101"/>
      <c r="C13" s="101"/>
      <c r="D13" s="101"/>
      <c r="E13" s="102"/>
      <c r="F13" s="101"/>
      <c r="G13" s="224"/>
      <c r="I13" s="146"/>
    </row>
    <row r="14" spans="1:10" ht="16.5">
      <c r="A14" s="110" t="s">
        <v>152</v>
      </c>
      <c r="B14" s="101"/>
      <c r="C14" s="101"/>
      <c r="D14" s="101"/>
      <c r="E14" s="102"/>
      <c r="F14" s="101"/>
      <c r="G14" s="226">
        <f>E15+E16+E17+E19+E18</f>
        <v>398119001</v>
      </c>
      <c r="J14" s="147"/>
    </row>
    <row r="15" spans="1:7" ht="17.25" customHeight="1">
      <c r="A15" s="101" t="s">
        <v>153</v>
      </c>
      <c r="B15" s="101"/>
      <c r="C15" s="101"/>
      <c r="D15" s="101"/>
      <c r="E15" s="107">
        <v>398119001</v>
      </c>
      <c r="F15" s="101"/>
      <c r="G15" s="224"/>
    </row>
    <row r="16" spans="1:7" ht="15" hidden="1">
      <c r="A16" s="101" t="s">
        <v>177</v>
      </c>
      <c r="B16" s="101"/>
      <c r="C16" s="101"/>
      <c r="D16" s="101"/>
      <c r="E16" s="107">
        <v>0</v>
      </c>
      <c r="F16" s="101"/>
      <c r="G16" s="224"/>
    </row>
    <row r="17" spans="1:7" ht="15" hidden="1">
      <c r="A17" s="101" t="s">
        <v>176</v>
      </c>
      <c r="B17" s="101"/>
      <c r="C17" s="101"/>
      <c r="D17" s="101"/>
      <c r="E17" s="140">
        <v>0</v>
      </c>
      <c r="F17" s="101"/>
      <c r="G17" s="224"/>
    </row>
    <row r="18" spans="1:7" ht="15" hidden="1">
      <c r="A18" s="101" t="s">
        <v>154</v>
      </c>
      <c r="B18" s="101"/>
      <c r="C18" s="101"/>
      <c r="D18" s="101"/>
      <c r="E18" s="107">
        <v>0</v>
      </c>
      <c r="F18" s="101"/>
      <c r="G18" s="224"/>
    </row>
    <row r="19" spans="1:7" ht="15" hidden="1">
      <c r="A19" s="101" t="s">
        <v>155</v>
      </c>
      <c r="B19" s="101"/>
      <c r="C19" s="101"/>
      <c r="D19" s="101"/>
      <c r="E19" s="107">
        <v>0</v>
      </c>
      <c r="F19" s="101"/>
      <c r="G19" s="224"/>
    </row>
    <row r="20" spans="1:9" ht="15">
      <c r="A20" s="101"/>
      <c r="B20" s="101"/>
      <c r="C20" s="101"/>
      <c r="D20" s="101"/>
      <c r="E20" s="107"/>
      <c r="F20" s="101"/>
      <c r="G20" s="224"/>
      <c r="I20" s="144"/>
    </row>
    <row r="21" spans="1:7" ht="15.75" thickBot="1">
      <c r="A21" s="274" t="s">
        <v>164</v>
      </c>
      <c r="B21" s="274"/>
      <c r="C21" s="274"/>
      <c r="D21" s="274"/>
      <c r="E21" s="274"/>
      <c r="F21" s="275"/>
      <c r="G21" s="277">
        <f>+G14+G8</f>
        <v>419883276.13</v>
      </c>
    </row>
    <row r="22" spans="1:9" ht="15.75" thickTop="1">
      <c r="A22" s="101"/>
      <c r="B22" s="101"/>
      <c r="C22" s="101"/>
      <c r="D22" s="101"/>
      <c r="E22" s="102"/>
      <c r="F22" s="101"/>
      <c r="G22" s="224"/>
      <c r="I22" s="146"/>
    </row>
    <row r="23" spans="1:10" ht="15">
      <c r="A23" s="214" t="s">
        <v>95</v>
      </c>
      <c r="B23" s="213"/>
      <c r="C23" s="213"/>
      <c r="D23" s="101"/>
      <c r="E23" s="102"/>
      <c r="F23" s="101"/>
      <c r="G23" s="224"/>
      <c r="I23" s="143"/>
      <c r="J23" s="146"/>
    </row>
    <row r="24" spans="1:7" ht="15">
      <c r="A24" s="101"/>
      <c r="B24" s="101"/>
      <c r="C24" s="101"/>
      <c r="D24" s="101"/>
      <c r="E24" s="102"/>
      <c r="F24" s="101"/>
      <c r="G24" s="224"/>
    </row>
    <row r="25" spans="1:9" ht="16.5">
      <c r="A25" s="110" t="s">
        <v>156</v>
      </c>
      <c r="B25" s="101"/>
      <c r="C25" s="101"/>
      <c r="D25" s="101"/>
      <c r="E25" s="102"/>
      <c r="F25" s="111">
        <f>SUM(E26:E29)</f>
        <v>204696435</v>
      </c>
      <c r="G25" s="224"/>
      <c r="I25" s="145"/>
    </row>
    <row r="26" spans="1:7" ht="15">
      <c r="A26" s="101" t="s">
        <v>131</v>
      </c>
      <c r="B26" s="101"/>
      <c r="C26" s="101"/>
      <c r="D26" s="101"/>
      <c r="E26" s="112">
        <v>113499482</v>
      </c>
      <c r="F26" s="101"/>
      <c r="G26" s="227"/>
    </row>
    <row r="27" spans="1:7" ht="15">
      <c r="A27" s="101" t="s">
        <v>98</v>
      </c>
      <c r="B27" s="101"/>
      <c r="C27" s="101"/>
      <c r="D27" s="101"/>
      <c r="E27" s="112">
        <v>38514250</v>
      </c>
      <c r="F27" s="101"/>
      <c r="G27" s="227"/>
    </row>
    <row r="28" spans="1:7" ht="15">
      <c r="A28" s="101" t="s">
        <v>99</v>
      </c>
      <c r="B28" s="101"/>
      <c r="C28" s="101"/>
      <c r="D28" s="101"/>
      <c r="E28" s="112">
        <v>32882243</v>
      </c>
      <c r="F28" s="101"/>
      <c r="G28" s="227"/>
    </row>
    <row r="29" spans="1:9" ht="15">
      <c r="A29" s="101" t="s">
        <v>100</v>
      </c>
      <c r="B29" s="101"/>
      <c r="C29" s="101"/>
      <c r="D29" s="101"/>
      <c r="E29" s="112">
        <v>19800460</v>
      </c>
      <c r="F29" s="101"/>
      <c r="G29" s="227"/>
      <c r="I29" s="144"/>
    </row>
    <row r="30" spans="1:7" ht="15">
      <c r="A30" s="101"/>
      <c r="B30" s="101"/>
      <c r="C30" s="101"/>
      <c r="D30" s="101"/>
      <c r="E30" s="101"/>
      <c r="F30" s="101"/>
      <c r="G30" s="227"/>
    </row>
    <row r="31" spans="1:7" ht="16.5">
      <c r="A31" s="110" t="s">
        <v>113</v>
      </c>
      <c r="B31" s="101"/>
      <c r="C31" s="101"/>
      <c r="D31" s="101"/>
      <c r="E31" s="101"/>
      <c r="F31" s="111">
        <f>SUM(E33:E35)</f>
        <v>174681315</v>
      </c>
      <c r="G31" s="224"/>
    </row>
    <row r="32" spans="1:7" ht="15" hidden="1">
      <c r="A32" s="113"/>
      <c r="B32" s="101"/>
      <c r="C32" s="101"/>
      <c r="D32" s="101"/>
      <c r="E32" s="101"/>
      <c r="F32" s="111"/>
      <c r="G32" s="227"/>
    </row>
    <row r="33" spans="1:7" ht="15">
      <c r="A33" s="101" t="s">
        <v>96</v>
      </c>
      <c r="B33" s="101"/>
      <c r="C33" s="101"/>
      <c r="D33" s="101"/>
      <c r="E33" s="112">
        <v>61786086</v>
      </c>
      <c r="F33" s="101"/>
      <c r="G33" s="227"/>
    </row>
    <row r="34" spans="1:7" ht="15">
      <c r="A34" s="101" t="s">
        <v>97</v>
      </c>
      <c r="B34" s="101"/>
      <c r="C34" s="101"/>
      <c r="D34" s="101"/>
      <c r="E34" s="272">
        <v>1680272</v>
      </c>
      <c r="F34" s="101"/>
      <c r="G34" s="227"/>
    </row>
    <row r="35" spans="1:7" ht="15">
      <c r="A35" s="101" t="s">
        <v>69</v>
      </c>
      <c r="B35" s="101"/>
      <c r="C35" s="101"/>
      <c r="D35" s="101"/>
      <c r="E35" s="273">
        <v>111214957</v>
      </c>
      <c r="F35" s="101"/>
      <c r="G35" s="227"/>
    </row>
    <row r="36" spans="1:7" ht="15">
      <c r="A36" s="101"/>
      <c r="B36" s="101"/>
      <c r="C36" s="101"/>
      <c r="D36" s="101"/>
      <c r="E36" s="101"/>
      <c r="F36" s="101"/>
      <c r="G36" s="227"/>
    </row>
    <row r="37" spans="1:7" ht="15.75" thickBot="1">
      <c r="A37" s="274" t="s">
        <v>157</v>
      </c>
      <c r="B37" s="274"/>
      <c r="C37" s="274"/>
      <c r="D37" s="274"/>
      <c r="E37" s="274"/>
      <c r="F37" s="275"/>
      <c r="G37" s="277">
        <f>+F25+F31</f>
        <v>379377750</v>
      </c>
    </row>
    <row r="38" spans="1:9" ht="15.75" thickTop="1">
      <c r="A38" s="101"/>
      <c r="B38" s="101"/>
      <c r="C38" s="101"/>
      <c r="D38" s="101"/>
      <c r="E38" s="102"/>
      <c r="F38" s="101"/>
      <c r="G38" s="224"/>
      <c r="I38" s="121"/>
    </row>
    <row r="39" spans="1:9" ht="15">
      <c r="A39" s="101"/>
      <c r="B39" s="101"/>
      <c r="C39" s="101"/>
      <c r="D39" s="101"/>
      <c r="E39" s="102"/>
      <c r="F39" s="101"/>
      <c r="G39" s="224"/>
      <c r="I39" s="145"/>
    </row>
    <row r="40" spans="1:7" ht="15.75" thickBot="1">
      <c r="A40" s="278" t="s">
        <v>158</v>
      </c>
      <c r="B40" s="279"/>
      <c r="C40" s="279"/>
      <c r="D40" s="279"/>
      <c r="E40" s="280"/>
      <c r="F40" s="279"/>
      <c r="G40" s="277">
        <f>G21-G37</f>
        <v>40505526.129999995</v>
      </c>
    </row>
    <row r="41" spans="1:7" ht="15.75" thickTop="1">
      <c r="A41" s="101"/>
      <c r="B41" s="101" t="s">
        <v>138</v>
      </c>
      <c r="C41" s="101"/>
      <c r="D41" s="101"/>
      <c r="E41" s="102"/>
      <c r="F41" s="101"/>
      <c r="G41" s="223" t="s">
        <v>138</v>
      </c>
    </row>
    <row r="42" spans="1:7" ht="15.75" thickBot="1">
      <c r="A42" s="274" t="s">
        <v>165</v>
      </c>
      <c r="B42" s="274"/>
      <c r="C42" s="274"/>
      <c r="D42" s="274"/>
      <c r="E42" s="274"/>
      <c r="F42" s="275"/>
      <c r="G42" s="277">
        <f>E44+E45+E46+E47</f>
        <v>1936924</v>
      </c>
    </row>
    <row r="43" spans="1:7" ht="15.75" thickTop="1">
      <c r="A43" s="101"/>
      <c r="B43" s="101" t="s">
        <v>138</v>
      </c>
      <c r="C43" s="101"/>
      <c r="D43" s="101"/>
      <c r="E43" s="102"/>
      <c r="F43" s="101"/>
      <c r="G43" s="228"/>
    </row>
    <row r="44" spans="1:7" ht="15">
      <c r="A44" s="101" t="s">
        <v>49</v>
      </c>
      <c r="B44" s="101"/>
      <c r="C44" s="101"/>
      <c r="D44" s="101"/>
      <c r="E44" s="107">
        <v>1533287</v>
      </c>
      <c r="F44" s="101"/>
      <c r="G44" s="224"/>
    </row>
    <row r="45" spans="1:7" ht="15">
      <c r="A45" s="101" t="s">
        <v>126</v>
      </c>
      <c r="B45" s="101"/>
      <c r="C45" s="101"/>
      <c r="D45" s="101"/>
      <c r="E45" s="107">
        <v>306754</v>
      </c>
      <c r="F45" s="101"/>
      <c r="G45" s="224"/>
    </row>
    <row r="46" spans="1:7" ht="15">
      <c r="A46" s="101" t="s">
        <v>67</v>
      </c>
      <c r="B46" s="101"/>
      <c r="C46" s="101"/>
      <c r="D46" s="101"/>
      <c r="E46" s="107">
        <v>96883</v>
      </c>
      <c r="F46" s="101"/>
      <c r="G46" s="224"/>
    </row>
    <row r="47" spans="1:7" ht="15.75" hidden="1" thickBot="1">
      <c r="A47" s="101" t="s">
        <v>160</v>
      </c>
      <c r="B47" s="101"/>
      <c r="C47" s="101"/>
      <c r="D47" s="101"/>
      <c r="E47" s="114">
        <f>D48+D50</f>
        <v>0</v>
      </c>
      <c r="F47" s="101"/>
      <c r="G47" s="228"/>
    </row>
    <row r="48" spans="1:7" ht="15" hidden="1">
      <c r="A48" s="101" t="s">
        <v>161</v>
      </c>
      <c r="B48" s="101"/>
      <c r="C48" s="101"/>
      <c r="D48" s="115">
        <v>0</v>
      </c>
      <c r="E48" s="102"/>
      <c r="F48" s="101"/>
      <c r="G48" s="224"/>
    </row>
    <row r="49" spans="1:7" ht="15" hidden="1">
      <c r="A49" s="101" t="s">
        <v>163</v>
      </c>
      <c r="B49" s="101"/>
      <c r="C49" s="101"/>
      <c r="D49" s="115">
        <v>0</v>
      </c>
      <c r="E49" s="102"/>
      <c r="F49" s="101"/>
      <c r="G49" s="224"/>
    </row>
    <row r="50" spans="1:7" ht="15.75" hidden="1" thickBot="1">
      <c r="A50" s="101" t="s">
        <v>162</v>
      </c>
      <c r="B50" s="101"/>
      <c r="C50" s="101"/>
      <c r="D50" s="116">
        <v>0</v>
      </c>
      <c r="E50" s="117"/>
      <c r="F50" s="101"/>
      <c r="G50" s="224"/>
    </row>
    <row r="51" spans="1:7" ht="15">
      <c r="A51" s="101"/>
      <c r="B51" s="101"/>
      <c r="C51" s="101"/>
      <c r="D51" s="118"/>
      <c r="E51" s="117"/>
      <c r="F51" s="101"/>
      <c r="G51" s="224"/>
    </row>
    <row r="52" spans="1:7" ht="15.75" thickBot="1">
      <c r="A52" s="281" t="s">
        <v>175</v>
      </c>
      <c r="B52" s="281"/>
      <c r="C52" s="281"/>
      <c r="D52" s="281"/>
      <c r="E52" s="281"/>
      <c r="F52" s="282"/>
      <c r="G52" s="277">
        <f>G40+G42+1</f>
        <v>42442451.129999995</v>
      </c>
    </row>
    <row r="53" spans="1:7" ht="15.75" hidden="1" thickTop="1">
      <c r="A53" s="101"/>
      <c r="B53" s="101"/>
      <c r="C53" s="101"/>
      <c r="D53" s="101"/>
      <c r="E53" s="102"/>
      <c r="F53" s="101"/>
      <c r="G53" s="224"/>
    </row>
    <row r="54" spans="1:7" ht="15.75" thickTop="1">
      <c r="A54" s="101" t="s">
        <v>172</v>
      </c>
      <c r="B54" s="101"/>
      <c r="C54" s="101"/>
      <c r="D54" s="101"/>
      <c r="E54" s="102" t="s">
        <v>138</v>
      </c>
      <c r="F54" s="101"/>
      <c r="G54" s="224"/>
    </row>
    <row r="55" spans="1:7" ht="15.75" thickBot="1">
      <c r="A55" s="274" t="s">
        <v>171</v>
      </c>
      <c r="B55" s="274"/>
      <c r="C55" s="274"/>
      <c r="D55" s="274"/>
      <c r="E55" s="274"/>
      <c r="F55" s="275"/>
      <c r="G55" s="277">
        <f>+E58+E63-E75-E87</f>
        <v>54139894</v>
      </c>
    </row>
    <row r="56" spans="1:7" ht="15.75" thickTop="1">
      <c r="A56" s="101"/>
      <c r="B56" s="101"/>
      <c r="C56" s="101"/>
      <c r="D56" s="101"/>
      <c r="E56" s="102"/>
      <c r="F56" s="101"/>
      <c r="G56" s="224"/>
    </row>
    <row r="57" spans="1:7" ht="15" hidden="1">
      <c r="A57" s="113" t="s">
        <v>187</v>
      </c>
      <c r="B57" s="101"/>
      <c r="C57" s="101"/>
      <c r="D57" s="101"/>
      <c r="E57" s="102"/>
      <c r="F57" s="101"/>
      <c r="G57" s="224"/>
    </row>
    <row r="58" spans="1:8" ht="15.75" hidden="1">
      <c r="A58" s="113" t="s">
        <v>186</v>
      </c>
      <c r="B58" s="101"/>
      <c r="C58" s="101"/>
      <c r="D58" s="108"/>
      <c r="E58" s="119">
        <f>SUM(D60:D62)</f>
        <v>0</v>
      </c>
      <c r="F58" s="101"/>
      <c r="G58" s="224"/>
      <c r="H58" s="99"/>
    </row>
    <row r="59" spans="1:8" ht="15.75" hidden="1">
      <c r="A59" s="113"/>
      <c r="B59" s="101"/>
      <c r="C59" s="101"/>
      <c r="D59" s="108"/>
      <c r="E59" s="119"/>
      <c r="F59" s="101"/>
      <c r="G59" s="224"/>
      <c r="H59" s="99"/>
    </row>
    <row r="60" spans="1:8" ht="15.75" hidden="1">
      <c r="A60" s="113"/>
      <c r="B60" s="101"/>
      <c r="C60" s="101"/>
      <c r="D60" s="108">
        <v>0</v>
      </c>
      <c r="E60" s="119"/>
      <c r="F60" s="101"/>
      <c r="G60" s="224"/>
      <c r="H60" s="99"/>
    </row>
    <row r="61" spans="1:8" ht="15.75" hidden="1">
      <c r="A61" s="113"/>
      <c r="B61" s="101"/>
      <c r="C61" s="101"/>
      <c r="D61" s="108">
        <v>0</v>
      </c>
      <c r="E61" s="119"/>
      <c r="F61" s="101"/>
      <c r="G61" s="224"/>
      <c r="H61" s="99"/>
    </row>
    <row r="62" spans="1:7" ht="15" hidden="1">
      <c r="A62" s="101"/>
      <c r="B62" s="101"/>
      <c r="C62" s="101"/>
      <c r="D62" s="119">
        <v>0</v>
      </c>
      <c r="E62" s="109"/>
      <c r="F62" s="101"/>
      <c r="G62" s="224"/>
    </row>
    <row r="63" spans="1:7" ht="15">
      <c r="A63" s="113" t="s">
        <v>184</v>
      </c>
      <c r="B63" s="101"/>
      <c r="C63" s="101"/>
      <c r="D63" s="108"/>
      <c r="E63" s="142">
        <f>SUM(D64:D73)</f>
        <v>58456800</v>
      </c>
      <c r="F63" s="101"/>
      <c r="G63" s="224"/>
    </row>
    <row r="64" spans="1:7" ht="15" hidden="1">
      <c r="A64" s="81" t="s">
        <v>139</v>
      </c>
      <c r="D64" s="91"/>
      <c r="G64" s="229"/>
    </row>
    <row r="65" spans="1:7" ht="15">
      <c r="A65" s="81" t="s">
        <v>140</v>
      </c>
      <c r="D65" s="123">
        <v>58386706</v>
      </c>
      <c r="G65" s="229"/>
    </row>
    <row r="66" spans="1:7" ht="15" hidden="1">
      <c r="A66" s="81" t="s">
        <v>238</v>
      </c>
      <c r="D66" s="122"/>
      <c r="E66" s="91"/>
      <c r="G66" s="229"/>
    </row>
    <row r="67" spans="1:7" ht="15">
      <c r="A67" s="81" t="s">
        <v>147</v>
      </c>
      <c r="D67" s="122">
        <v>42800</v>
      </c>
      <c r="G67" s="229"/>
    </row>
    <row r="68" spans="1:7" ht="15" hidden="1">
      <c r="A68" s="81" t="s">
        <v>133</v>
      </c>
      <c r="D68" s="122"/>
      <c r="G68" s="229"/>
    </row>
    <row r="69" spans="1:7" ht="15" hidden="1">
      <c r="A69" s="81" t="s">
        <v>141</v>
      </c>
      <c r="D69" s="122"/>
      <c r="G69" s="229"/>
    </row>
    <row r="70" spans="1:7" ht="15" hidden="1">
      <c r="A70" s="81" t="s">
        <v>182</v>
      </c>
      <c r="D70" s="123"/>
      <c r="E70" s="81"/>
      <c r="G70" s="229"/>
    </row>
    <row r="71" spans="1:7" ht="15" hidden="1">
      <c r="A71" s="81" t="s">
        <v>144</v>
      </c>
      <c r="D71" s="123"/>
      <c r="G71" s="229"/>
    </row>
    <row r="72" spans="1:7" ht="15">
      <c r="A72" s="81" t="s">
        <v>142</v>
      </c>
      <c r="D72" s="123">
        <v>27294</v>
      </c>
      <c r="G72" s="229"/>
    </row>
    <row r="73" spans="1:7" ht="15" hidden="1">
      <c r="A73" s="81" t="s">
        <v>263</v>
      </c>
      <c r="D73" s="122"/>
      <c r="G73" s="229"/>
    </row>
    <row r="74" spans="1:8" ht="15.75">
      <c r="A74" s="101" t="s">
        <v>174</v>
      </c>
      <c r="B74" s="101"/>
      <c r="C74" s="101"/>
      <c r="D74" s="122"/>
      <c r="E74" s="109"/>
      <c r="F74" s="101"/>
      <c r="G74" s="224"/>
      <c r="H74" s="99"/>
    </row>
    <row r="75" spans="1:8" ht="15">
      <c r="A75" s="113" t="s">
        <v>185</v>
      </c>
      <c r="B75" s="101"/>
      <c r="C75" s="101"/>
      <c r="D75" s="87"/>
      <c r="E75" s="141">
        <f>SUM(D76:D85)</f>
        <v>4316906</v>
      </c>
      <c r="F75" s="101"/>
      <c r="G75" s="224"/>
      <c r="H75" s="100"/>
    </row>
    <row r="76" spans="1:7" ht="13.5" customHeight="1">
      <c r="A76" s="81" t="s">
        <v>139</v>
      </c>
      <c r="B76" s="101"/>
      <c r="C76" s="101"/>
      <c r="D76" s="123">
        <v>354000</v>
      </c>
      <c r="E76" s="120"/>
      <c r="F76" s="101"/>
      <c r="G76" s="224"/>
    </row>
    <row r="77" spans="1:7" ht="13.5" customHeight="1" hidden="1">
      <c r="A77" s="81" t="s">
        <v>140</v>
      </c>
      <c r="B77" s="101"/>
      <c r="C77" s="101"/>
      <c r="D77" s="122"/>
      <c r="E77" s="120"/>
      <c r="F77" s="101"/>
      <c r="G77" s="224"/>
    </row>
    <row r="78" spans="1:7" ht="15">
      <c r="A78" s="81" t="s">
        <v>238</v>
      </c>
      <c r="B78" s="101"/>
      <c r="C78" s="101"/>
      <c r="D78" s="123">
        <v>605745</v>
      </c>
      <c r="E78" s="108"/>
      <c r="F78" s="101"/>
      <c r="G78" s="228"/>
    </row>
    <row r="79" spans="1:7" ht="15" hidden="1">
      <c r="A79" s="81" t="s">
        <v>147</v>
      </c>
      <c r="B79" s="101"/>
      <c r="C79" s="101"/>
      <c r="D79" s="122"/>
      <c r="E79" s="109"/>
      <c r="F79" s="101"/>
      <c r="G79" s="224"/>
    </row>
    <row r="80" spans="1:7" ht="15">
      <c r="A80" s="81" t="s">
        <v>133</v>
      </c>
      <c r="B80" s="101"/>
      <c r="C80" s="101"/>
      <c r="D80" s="123">
        <v>230404</v>
      </c>
      <c r="E80" s="109"/>
      <c r="F80" s="101"/>
      <c r="G80" s="224"/>
    </row>
    <row r="81" spans="1:7" ht="15">
      <c r="A81" s="81" t="s">
        <v>141</v>
      </c>
      <c r="B81" s="101"/>
      <c r="C81" s="101"/>
      <c r="D81" s="123">
        <v>1611040</v>
      </c>
      <c r="E81" s="109"/>
      <c r="F81" s="101"/>
      <c r="G81" s="224"/>
    </row>
    <row r="82" spans="1:7" ht="15">
      <c r="A82" s="81" t="s">
        <v>182</v>
      </c>
      <c r="B82" s="101"/>
      <c r="C82" s="101"/>
      <c r="D82" s="123">
        <v>1050130</v>
      </c>
      <c r="E82" s="109"/>
      <c r="F82" s="101"/>
      <c r="G82" s="224"/>
    </row>
    <row r="83" spans="1:7" ht="15">
      <c r="A83" s="81" t="s">
        <v>144</v>
      </c>
      <c r="B83" s="101"/>
      <c r="C83" s="101"/>
      <c r="D83" s="123">
        <v>465587</v>
      </c>
      <c r="E83" s="109"/>
      <c r="F83" s="101"/>
      <c r="G83" s="224"/>
    </row>
    <row r="84" spans="1:7" ht="15" hidden="1">
      <c r="A84" s="81" t="s">
        <v>142</v>
      </c>
      <c r="B84" s="101"/>
      <c r="C84" s="101"/>
      <c r="D84" s="120"/>
      <c r="E84" s="109"/>
      <c r="F84" s="101"/>
      <c r="G84" s="224"/>
    </row>
    <row r="85" spans="1:7" ht="15">
      <c r="A85" s="101"/>
      <c r="B85" s="101"/>
      <c r="C85" s="101"/>
      <c r="D85" s="120"/>
      <c r="E85" s="109"/>
      <c r="F85" s="101"/>
      <c r="G85" s="224"/>
    </row>
    <row r="86" spans="1:7" ht="15" hidden="1">
      <c r="A86" s="101"/>
      <c r="B86" s="101"/>
      <c r="C86" s="101"/>
      <c r="D86" s="120"/>
      <c r="E86" s="109"/>
      <c r="F86" s="101"/>
      <c r="G86" s="224"/>
    </row>
    <row r="87" spans="1:9" ht="15" hidden="1">
      <c r="A87" s="95" t="s">
        <v>191</v>
      </c>
      <c r="D87" s="91"/>
      <c r="E87" s="90">
        <v>0</v>
      </c>
      <c r="G87" s="229"/>
      <c r="I87" s="100"/>
    </row>
    <row r="88" spans="1:7" ht="15" hidden="1">
      <c r="A88" s="101"/>
      <c r="B88" s="101"/>
      <c r="C88" s="101"/>
      <c r="D88" s="120"/>
      <c r="E88" s="109"/>
      <c r="F88" s="101"/>
      <c r="G88" s="224"/>
    </row>
    <row r="89" spans="1:7" ht="15">
      <c r="A89" s="101"/>
      <c r="B89" s="101"/>
      <c r="C89" s="101"/>
      <c r="D89" s="120"/>
      <c r="E89" s="109"/>
      <c r="F89" s="101"/>
      <c r="G89" s="224"/>
    </row>
    <row r="90" spans="1:7" ht="15.75" thickBot="1">
      <c r="A90" s="274" t="s">
        <v>121</v>
      </c>
      <c r="B90" s="274"/>
      <c r="C90" s="274"/>
      <c r="D90" s="274"/>
      <c r="E90" s="274"/>
      <c r="F90" s="275"/>
      <c r="G90" s="277">
        <f>G52+G55-1</f>
        <v>96582344.13</v>
      </c>
    </row>
    <row r="91" ht="15.75" thickTop="1"/>
    <row r="1496" ht="15">
      <c r="B1496" s="81" t="s">
        <v>138</v>
      </c>
    </row>
    <row r="1729" ht="15">
      <c r="B1729" s="81" t="s">
        <v>138</v>
      </c>
    </row>
  </sheetData>
  <sheetProtection/>
  <mergeCells count="3">
    <mergeCell ref="A1:G1"/>
    <mergeCell ref="A2:G2"/>
    <mergeCell ref="A3:G3"/>
  </mergeCells>
  <printOptions/>
  <pageMargins left="1.08" right="0.25" top="0.24" bottom="0.23" header="0.17" footer="0"/>
  <pageSetup horizontalDpi="600" verticalDpi="600" orientation="portrait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14" sqref="E14"/>
    </sheetView>
  </sheetViews>
  <sheetFormatPr defaultColWidth="11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Consejo Electoral del Estado de Jalisco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Lic. José Manuel Barceló Moreno</dc:creator>
  <cp:keywords/>
  <dc:description/>
  <cp:lastModifiedBy>Servicio Social Transparencia</cp:lastModifiedBy>
  <cp:lastPrinted>2012-04-21T17:13:43Z</cp:lastPrinted>
  <dcterms:created xsi:type="dcterms:W3CDTF">2000-03-14T16:50:30Z</dcterms:created>
  <dcterms:modified xsi:type="dcterms:W3CDTF">2012-05-24T14:09:12Z</dcterms:modified>
  <cp:category/>
  <cp:version/>
  <cp:contentType/>
  <cp:contentStatus/>
</cp:coreProperties>
</file>