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080" windowHeight="9228" firstSheet="1" activeTab="1"/>
  </bookViews>
  <sheets>
    <sheet name="CALENDARIZ" sheetId="1" r:id="rId1"/>
    <sheet name="GASTO CORRIENTE " sheetId="2" r:id="rId2"/>
    <sheet name="RESULTADOS " sheetId="3" r:id="rId3"/>
    <sheet name="BALANCE " sheetId="4" r:id="rId4"/>
    <sheet name="ORIGEN Y APLIC. NUEVA MES" sheetId="5" r:id="rId5"/>
    <sheet name="ORIGEN Y APLIC. NUEVA ACUM" sheetId="6" r:id="rId6"/>
  </sheets>
  <externalReferences>
    <externalReference r:id="rId9"/>
  </externalReferences>
  <definedNames>
    <definedName name="_xlnm.Print_Area" localSheetId="1">'GASTO CORRIENTE '!$V$2:$AC$119</definedName>
    <definedName name="_xlnm.Print_Area" localSheetId="5">'ORIGEN Y APLIC. NUEVA ACUM'!$B$1:$H$90</definedName>
    <definedName name="_xlnm.Print_Titles" localSheetId="1">'GASTO CORRIENTE '!$2:$6</definedName>
  </definedNames>
  <calcPr fullCalcOnLoad="1"/>
</workbook>
</file>

<file path=xl/sharedStrings.xml><?xml version="1.0" encoding="utf-8"?>
<sst xmlns="http://schemas.openxmlformats.org/spreadsheetml/2006/main" count="1284" uniqueCount="429">
  <si>
    <t>VARIACION</t>
  </si>
  <si>
    <t>SERVICIOS PERSONALES</t>
  </si>
  <si>
    <t>MATERIALES Y SUMINISTROS</t>
  </si>
  <si>
    <t>SERVICIOS GENERALES</t>
  </si>
  <si>
    <t>TOTAL</t>
  </si>
  <si>
    <t>ESTADO DE RESULTADOS</t>
  </si>
  <si>
    <t>CONCEPTO</t>
  </si>
  <si>
    <t>Actividades Ordinarias</t>
  </si>
  <si>
    <t>ACUMULADO</t>
  </si>
  <si>
    <t>ESTADO DE SITUACION FINANCIERA</t>
  </si>
  <si>
    <t>ENERO</t>
  </si>
  <si>
    <t>DICIEMBRE</t>
  </si>
  <si>
    <t>BANCOS CTA. DE CHEQUES</t>
  </si>
  <si>
    <t>INVERSIONES</t>
  </si>
  <si>
    <t>FONDO FIJO DE CAJA</t>
  </si>
  <si>
    <t>DEUDORES DIVERSOS</t>
  </si>
  <si>
    <t>FUNCIONARIOS Y EMPLEADOS</t>
  </si>
  <si>
    <t>MOBILIARIO Y EQUIPO DE OFICINA</t>
  </si>
  <si>
    <t>EQUIPO DE TRANSPORTE</t>
  </si>
  <si>
    <t>EQUIPO DE COMUNICACIÓN</t>
  </si>
  <si>
    <t>EQUIPO DE AUDIO Y VIDEO</t>
  </si>
  <si>
    <t>MEJORAS A LOCALES ARRENDADOS</t>
  </si>
  <si>
    <t>ACREEDORES DIVERSOS</t>
  </si>
  <si>
    <t>IMPUESTOS POR PAGAR</t>
  </si>
  <si>
    <t>CUENTAS POR PAGAR</t>
  </si>
  <si>
    <t>PATRIMONIO</t>
  </si>
  <si>
    <t>FEBRERO</t>
  </si>
  <si>
    <t>MARZO</t>
  </si>
  <si>
    <t>PARTIDA</t>
  </si>
  <si>
    <t>ASIGNACION PRESUPUESTAL-ADQ. ACTIVOS</t>
  </si>
  <si>
    <t>Productos Financieros</t>
  </si>
  <si>
    <t>ABRIL</t>
  </si>
  <si>
    <t>MAYO</t>
  </si>
  <si>
    <t>MES</t>
  </si>
  <si>
    <t>JUNIO</t>
  </si>
  <si>
    <t>JULIO</t>
  </si>
  <si>
    <t>RESULTADOS DE EJERCICIOS ANTERIORES</t>
  </si>
  <si>
    <t>EQUIPO DE CÓMPUTO</t>
  </si>
  <si>
    <t>PROGRAMAS DE CÓMPUTO</t>
  </si>
  <si>
    <t>Depreciación Acumulada</t>
  </si>
  <si>
    <t>Amortización Acumulada a Locales Arrendados</t>
  </si>
  <si>
    <t>GASTOS DE INSTALACIÓN</t>
  </si>
  <si>
    <t>Amortización acumulada Gastos de Instalación</t>
  </si>
  <si>
    <t>ANTICIPO A PROVEEDORES</t>
  </si>
  <si>
    <t>PAGOS ANTICIPADOS</t>
  </si>
  <si>
    <t>AGOSTO</t>
  </si>
  <si>
    <t>R     E     A     L</t>
  </si>
  <si>
    <t>Sanciones</t>
  </si>
  <si>
    <t>Actividades Específicas</t>
  </si>
  <si>
    <t>Obtención del Voto</t>
  </si>
  <si>
    <t>SEPTIEMBRE</t>
  </si>
  <si>
    <t>OCTUBRE</t>
  </si>
  <si>
    <t>NOVIEMBRE</t>
  </si>
  <si>
    <t>SUELDOS Y SALARIOS POR PAGAR</t>
  </si>
  <si>
    <t>NOMINAL</t>
  </si>
  <si>
    <t>REAL</t>
  </si>
  <si>
    <t>TOTAL PATRIMONIO</t>
  </si>
  <si>
    <t>RESULTADO DEL EJERCICIO</t>
  </si>
  <si>
    <t>EFECTIVO EN BANCOS AL INICIO DEL EJERCICIO</t>
  </si>
  <si>
    <t>ORIGEN DE FONDOS</t>
  </si>
  <si>
    <t>APLICACIÓN DE FONDOS</t>
  </si>
  <si>
    <t>Actividades ordinarias</t>
  </si>
  <si>
    <t>Actividades específicas</t>
  </si>
  <si>
    <t>Materiales y suministros</t>
  </si>
  <si>
    <t>Servicios generales</t>
  </si>
  <si>
    <t>Adquisición de bienes muebles</t>
  </si>
  <si>
    <t xml:space="preserve">TOTAL ACTIVO CIRCULANTE </t>
  </si>
  <si>
    <t xml:space="preserve">TOTAL ACTIVO FIJO </t>
  </si>
  <si>
    <t xml:space="preserve">TOTAL ACTIVO DIFERIDO </t>
  </si>
  <si>
    <t>TOTAL ACTIVO</t>
  </si>
  <si>
    <t xml:space="preserve">TOTAL PASIVO CIRCULANTE </t>
  </si>
  <si>
    <t>TOTAL PASIVO Y PATRIMONIO</t>
  </si>
  <si>
    <t>GASTOS OPERATIVOS</t>
  </si>
  <si>
    <t>Remuneraciones y Prestaciones al Personal</t>
  </si>
  <si>
    <t>Materiales y Suministros</t>
  </si>
  <si>
    <t>Servicios Generales</t>
  </si>
  <si>
    <t>Depreciaciones y Amortizaciones</t>
  </si>
  <si>
    <t>FINANCIAMIENTO PUBLICO A PARTIDOS POLITICOS</t>
  </si>
  <si>
    <t>EGRESOS TOTALES</t>
  </si>
  <si>
    <t>RESULTADO DE OPERACIÓN</t>
  </si>
  <si>
    <t>INGRESOS NETOS</t>
  </si>
  <si>
    <t>501-1000</t>
  </si>
  <si>
    <t>501-2000</t>
  </si>
  <si>
    <t>501-3000</t>
  </si>
  <si>
    <t>EFECTIVO EN BANCOS AL INICIO DEL PERIODO</t>
  </si>
  <si>
    <t>EFECTIVO EN BANCOS AL FINAL DEL PERIODO</t>
  </si>
  <si>
    <t>C   O   N   C   E   P   T   O</t>
  </si>
  <si>
    <t>TOTAL GASTO CORRIENTE</t>
  </si>
  <si>
    <t>TOTAL PARTIDOS POLITICOS</t>
  </si>
  <si>
    <t>Otros Productos</t>
  </si>
  <si>
    <t>BIENES MUEBLES E INMUEBLES</t>
  </si>
  <si>
    <t>EVOLUCION DEL PRESUPUESTO</t>
  </si>
  <si>
    <t>Servicios Personales</t>
  </si>
  <si>
    <t>Erogaciones Extraordinarias</t>
  </si>
  <si>
    <t>Acreedores Diversos</t>
  </si>
  <si>
    <t>PRESUPUESTO</t>
  </si>
  <si>
    <t>ANALISIS DEL GASTO CORRIENTE</t>
  </si>
  <si>
    <t xml:space="preserve"> </t>
  </si>
  <si>
    <t>Fondo Fijo de Caja</t>
  </si>
  <si>
    <t>Deudores Diversos</t>
  </si>
  <si>
    <t>Impuestos por pagar</t>
  </si>
  <si>
    <t>Cuentas por Pagar</t>
  </si>
  <si>
    <t>Sueldos y Salarios por Pagar</t>
  </si>
  <si>
    <t>502</t>
  </si>
  <si>
    <t>507</t>
  </si>
  <si>
    <t>Depósitos en Garantía</t>
  </si>
  <si>
    <t>Otros Gastos</t>
  </si>
  <si>
    <t>DEPOSITOS EN GARANTíA</t>
  </si>
  <si>
    <t>SALDO DISPONIBLE 2003</t>
  </si>
  <si>
    <t>IMPORTE DE TRANSFERENCIAS PARA 2004</t>
  </si>
  <si>
    <t>TOTAL DE INGRESOS</t>
  </si>
  <si>
    <t>ASIGNACION PRESUPUESTAL</t>
  </si>
  <si>
    <t>PDTOS. FINANC. Y OTROS PDTOS.</t>
  </si>
  <si>
    <t>OTRAS ENTRADAS 2004</t>
  </si>
  <si>
    <t>GASTO CORRIENTE</t>
  </si>
  <si>
    <t>TOTAL DEL PRESUPUESTO EJERCIDO</t>
  </si>
  <si>
    <t>SUPERAVIT O DEFICIT DEL PERIODO</t>
  </si>
  <si>
    <t>OTROS PRODUCTOS</t>
  </si>
  <si>
    <t>otras entradas de efectivo</t>
  </si>
  <si>
    <t>ctas. Por pagar</t>
  </si>
  <si>
    <t>credito al salario</t>
  </si>
  <si>
    <t>acreedores diversos</t>
  </si>
  <si>
    <t>TOTAL DISPONIBLE EN EL PERIODO</t>
  </si>
  <si>
    <t>AUMENTO AL EFECTIVO EN BANCOS</t>
  </si>
  <si>
    <t xml:space="preserve">OTRAS ENTRADAS O SALIDAS DE EFECTIVO </t>
  </si>
  <si>
    <t>ENTRADAS</t>
  </si>
  <si>
    <t>SALIDAS</t>
  </si>
  <si>
    <t>PAGOS PENDIENTES Y EGRESOS A COMPROBAR MES SIGUIENTE</t>
  </si>
  <si>
    <t>( Más )</t>
  </si>
  <si>
    <t>%</t>
  </si>
  <si>
    <t>(Menos)</t>
  </si>
  <si>
    <t>EFECTIVO DISPONIBLE DEL PERIODO</t>
  </si>
  <si>
    <t>ANTICIPO 2006</t>
  </si>
  <si>
    <t>AMPLIACION ASIGNACION PRESUPUESTAL</t>
  </si>
  <si>
    <t xml:space="preserve"> ASIGNACION PRESUPUESTAL</t>
  </si>
  <si>
    <t>Proveedores</t>
  </si>
  <si>
    <t>PROVEEDORES</t>
  </si>
  <si>
    <t>PAGOS PENDIENTES</t>
  </si>
  <si>
    <t xml:space="preserve">EGRESOS POR COMPROBAR </t>
  </si>
  <si>
    <t>EJERCICIO ANTERIOR</t>
  </si>
  <si>
    <t xml:space="preserve">PAGOS PENDIENTES Y POR COMPROBAR </t>
  </si>
  <si>
    <t>VARIACION MENSUAL</t>
  </si>
  <si>
    <t>VARIACION ACUMULADA</t>
  </si>
  <si>
    <t>RESULTADO DE EJERCICIOS ANTERIORES</t>
  </si>
  <si>
    <t>SUMA GASTO CORRIENTE Y PART. POLITICOS</t>
  </si>
  <si>
    <t>INSTITUTO ELECTORAL Y DE PARTICIPACION CIUDADADANA DEL ESTADO DE JALISCO</t>
  </si>
  <si>
    <t>INSTITUTO ELECTORAL Y DE PARTICIPACION CIUDADANA DEL ESTADO DE JALISCO</t>
  </si>
  <si>
    <t>INTEGRACION</t>
  </si>
  <si>
    <t>INTEGRACION DEL PRESUPUESTO EJERCIDO DEL MES</t>
  </si>
  <si>
    <t>Prerrogativas Partidos Politicos</t>
  </si>
  <si>
    <t>PARTIDOS POLITICOS</t>
  </si>
  <si>
    <t>Asignación Presupuestal ( Gasto Corriente )</t>
  </si>
  <si>
    <t>Asignación Presupuestal ( Proceso Electoral )</t>
  </si>
  <si>
    <t>Adquisición de Activos ( Gasto Corriente )</t>
  </si>
  <si>
    <t>401-001</t>
  </si>
  <si>
    <t>302-001</t>
  </si>
  <si>
    <t>401-003</t>
  </si>
  <si>
    <t>401-006</t>
  </si>
  <si>
    <t>Adquisicion de Activos ( Proceso Electoral )</t>
  </si>
  <si>
    <t>ESTADO DE ORIGEN Y APLICACIÓN DE FONDOS ACUMULADO</t>
  </si>
  <si>
    <t>ESTADO DE ORIGEN Y APLICACIÓN DE FONDOS MENSUAL</t>
  </si>
  <si>
    <t xml:space="preserve">M E S </t>
  </si>
  <si>
    <t>S U M A</t>
  </si>
  <si>
    <t>CLAVE PRESUPUESTAL</t>
  </si>
  <si>
    <t>SUBSIDIO AL EMPLEO</t>
  </si>
  <si>
    <t>Subsidio al Empleo</t>
  </si>
  <si>
    <t>SUMA OTROS INGRESOS</t>
  </si>
  <si>
    <t>Pagos Anticipados</t>
  </si>
  <si>
    <t>ADMINISTRACION DE RECURSOS</t>
  </si>
  <si>
    <t>DEP.  POR SEFIN</t>
  </si>
  <si>
    <t>503</t>
  </si>
  <si>
    <t>RESPONSABILIDAD PATRIMONIAL</t>
  </si>
  <si>
    <t>Sueldo Personal Permanente</t>
  </si>
  <si>
    <t>Prima Vacacional y Dominical</t>
  </si>
  <si>
    <t>Aguinaldos</t>
  </si>
  <si>
    <t>Cuotas al IMSS ( Enfermedad y Maternidad )</t>
  </si>
  <si>
    <t>Cuotas para la Vivienda</t>
  </si>
  <si>
    <t>Cuotas a Pensiones</t>
  </si>
  <si>
    <t>Cuotas al Sedar</t>
  </si>
  <si>
    <t>Laudos, Liquidaciones e Indemnizaciones</t>
  </si>
  <si>
    <t>Fondo de Retiro</t>
  </si>
  <si>
    <t>Gratificados</t>
  </si>
  <si>
    <t>Estímulos al Personal</t>
  </si>
  <si>
    <t>Impacto al Salario</t>
  </si>
  <si>
    <t>Ayuda para Despensa</t>
  </si>
  <si>
    <t>Ayuda para Pasajes</t>
  </si>
  <si>
    <t>Estímulo por el día del Servidor Público</t>
  </si>
  <si>
    <t>Material de oficina</t>
  </si>
  <si>
    <t>Materiales, Utiles, y Eq. Menores de Tecnologías de la Información y Comunicación</t>
  </si>
  <si>
    <t>Material de Limpieza</t>
  </si>
  <si>
    <t>Material Didáctico</t>
  </si>
  <si>
    <t>Alimentos para Servidores Públicos Estatales</t>
  </si>
  <si>
    <t>Combustibles</t>
  </si>
  <si>
    <t>Vestuarios y Uniformes</t>
  </si>
  <si>
    <t>Refacc. Y Accs. Menores de Eq. De Cómputo y Tecnologías de la Información</t>
  </si>
  <si>
    <t>Refacc. Y Accs. Menores de Eq. De Transporte</t>
  </si>
  <si>
    <t>Servicio de Energía Eléctrica</t>
  </si>
  <si>
    <t>Servicio de Agua Potable</t>
  </si>
  <si>
    <t>Telefonía Tradicional</t>
  </si>
  <si>
    <t>Telefonía Celular</t>
  </si>
  <si>
    <t>Arrendamiento de Edificios y Locales</t>
  </si>
  <si>
    <t>Arrendamiento de Mobiliario y Equipo</t>
  </si>
  <si>
    <t>Arrendamiento de Vehiculos</t>
  </si>
  <si>
    <t>Capacitación Especializada</t>
  </si>
  <si>
    <t>Seguro de Bienes Patrimoniales</t>
  </si>
  <si>
    <t>Fletes y maniobras</t>
  </si>
  <si>
    <t>Conservación y Manten. Menores de Inmuebles</t>
  </si>
  <si>
    <t>Reparac. Y Mant. De Equipo de Transporte</t>
  </si>
  <si>
    <t>Difusión por Radio, TV y otros Medios de Mensajes Sobre Programas y Act. Gubernamental</t>
  </si>
  <si>
    <t>Servicio de Creación y Difusión de Contenido exclusivamente a Través de Internet</t>
  </si>
  <si>
    <t>Pasajes Aéreos</t>
  </si>
  <si>
    <t>Pasajes terrestres</t>
  </si>
  <si>
    <t>Viáticos en el País</t>
  </si>
  <si>
    <t>Viáticos en el Extranjero</t>
  </si>
  <si>
    <t>Congresos y Convenciones</t>
  </si>
  <si>
    <t>Impuestos  Derechos</t>
  </si>
  <si>
    <t>Responsabilidad Patrimonial</t>
  </si>
  <si>
    <t>Edificios No Residenciables</t>
  </si>
  <si>
    <t>Licencias Informáticas e Intelectuales</t>
  </si>
  <si>
    <t>1101</t>
  </si>
  <si>
    <t>1202</t>
  </si>
  <si>
    <t>1311</t>
  </si>
  <si>
    <t>1312</t>
  </si>
  <si>
    <t>1314</t>
  </si>
  <si>
    <t>1401</t>
  </si>
  <si>
    <t>1402</t>
  </si>
  <si>
    <t>1404</t>
  </si>
  <si>
    <t>1405</t>
  </si>
  <si>
    <t>1502</t>
  </si>
  <si>
    <t>1601</t>
  </si>
  <si>
    <t>1602</t>
  </si>
  <si>
    <t>2101</t>
  </si>
  <si>
    <t>2102</t>
  </si>
  <si>
    <t>2106</t>
  </si>
  <si>
    <t>2201</t>
  </si>
  <si>
    <t>2204</t>
  </si>
  <si>
    <t>2921</t>
  </si>
  <si>
    <t>Refacc. Y Acces. Menores de Edificios</t>
  </si>
  <si>
    <t>2601</t>
  </si>
  <si>
    <t>3103-001</t>
  </si>
  <si>
    <t>3103-002</t>
  </si>
  <si>
    <t>3201</t>
  </si>
  <si>
    <t>3203</t>
  </si>
  <si>
    <t>3304</t>
  </si>
  <si>
    <t>3381</t>
  </si>
  <si>
    <t>Servicio de Vigilancia</t>
  </si>
  <si>
    <t>3403</t>
  </si>
  <si>
    <t>3404</t>
  </si>
  <si>
    <t>3411</t>
  </si>
  <si>
    <t>3405</t>
  </si>
  <si>
    <t>Servicios Financieros y Bancarios</t>
  </si>
  <si>
    <t>3408</t>
  </si>
  <si>
    <t>3521</t>
  </si>
  <si>
    <t>3501</t>
  </si>
  <si>
    <t>Inst. Reparac. Y Mnto. De Mobiliario y Eq. De Administración</t>
  </si>
  <si>
    <t>3504</t>
  </si>
  <si>
    <t>3601-002</t>
  </si>
  <si>
    <t>2151</t>
  </si>
  <si>
    <t>3601-003</t>
  </si>
  <si>
    <t>Servicios de Creatividad, Preproducción y Producción de Publicidad Excepto Internet</t>
  </si>
  <si>
    <t>3601-001 3601-005 3601-006</t>
  </si>
  <si>
    <t>3362</t>
  </si>
  <si>
    <t>Impresiones de Papelería Oficial</t>
  </si>
  <si>
    <t>3602</t>
  </si>
  <si>
    <t>3161</t>
  </si>
  <si>
    <t>3601-006</t>
  </si>
  <si>
    <t>3701-001</t>
  </si>
  <si>
    <t>3701-002</t>
  </si>
  <si>
    <t>3702-002</t>
  </si>
  <si>
    <t>3702-001</t>
  </si>
  <si>
    <t>3802</t>
  </si>
  <si>
    <t>5111</t>
  </si>
  <si>
    <t>Muebles de Oficina y Estanteria</t>
  </si>
  <si>
    <t>Muebles Excepto de Oficina y Estanteria</t>
  </si>
  <si>
    <t>5121</t>
  </si>
  <si>
    <t>5151</t>
  </si>
  <si>
    <t>Equipo de Cómputo</t>
  </si>
  <si>
    <t>5191</t>
  </si>
  <si>
    <t>5411</t>
  </si>
  <si>
    <t>Vehículos y Camiones</t>
  </si>
  <si>
    <t>5641</t>
  </si>
  <si>
    <t>Sistemas de Aire Acondicionado</t>
  </si>
  <si>
    <t>5911</t>
  </si>
  <si>
    <t>Software</t>
  </si>
  <si>
    <t>Compensación Extraordinaria</t>
  </si>
  <si>
    <t>Cuotas para el Seguro de Vida del Personal</t>
  </si>
  <si>
    <t>Cuotas para el Seguro de Gastos Médicos</t>
  </si>
  <si>
    <t>Utensilios para el Servicio de Alimentación</t>
  </si>
  <si>
    <t>Servicios de Telecomunicaciones y Satelitales</t>
  </si>
  <si>
    <t>Otros Mobiliarios y Equipos de Administración</t>
  </si>
  <si>
    <t>PRESUPUESTO         POR EJERCER</t>
  </si>
  <si>
    <t>Salarios al Personal Eventual</t>
  </si>
  <si>
    <t>2441</t>
  </si>
  <si>
    <t>2451</t>
  </si>
  <si>
    <t>Madera y Productos De Madera</t>
  </si>
  <si>
    <t>Vidrio y Productos De Vidrio</t>
  </si>
  <si>
    <t>2461</t>
  </si>
  <si>
    <t>Material Eléctrico y Electrónico</t>
  </si>
  <si>
    <t>2481</t>
  </si>
  <si>
    <t>Materiales Complementarios</t>
  </si>
  <si>
    <t>2491</t>
  </si>
  <si>
    <t>Otros Materiales y Art. De Construc. Y Reparación</t>
  </si>
  <si>
    <t>2531</t>
  </si>
  <si>
    <t>Medicinas y Productos Farmaceúticos</t>
  </si>
  <si>
    <t>2931</t>
  </si>
  <si>
    <t>2981</t>
  </si>
  <si>
    <t>Refacc. Y Accs. Menores de Mob y Eq. De Admón.</t>
  </si>
  <si>
    <t>Refacc. Y Accs. Menores de Maquinaria y Otros Eq.</t>
  </si>
  <si>
    <t>3351</t>
  </si>
  <si>
    <t>Servicios de Investigación Científica y Desarrollo</t>
  </si>
  <si>
    <t>3291</t>
  </si>
  <si>
    <t>Arrendamientos Especiales</t>
  </si>
  <si>
    <t>3531</t>
  </si>
  <si>
    <t>Inst. Reparac. Y Mnto. De  Eq. De Computo y tecnologías de la Información</t>
  </si>
  <si>
    <t>3581</t>
  </si>
  <si>
    <t>Servicio de Limpieza y Manejo de Desechos</t>
  </si>
  <si>
    <t>3591</t>
  </si>
  <si>
    <t>Servicio de Jardineria y Fumigación</t>
  </si>
  <si>
    <t>3651</t>
  </si>
  <si>
    <t>Servicios de la Industria Filmica, Del Sonido y del Video</t>
  </si>
  <si>
    <t>Adquisición de Bienes Muebles</t>
  </si>
  <si>
    <t>1713</t>
  </si>
  <si>
    <t>Material Impreso e Información Digital</t>
  </si>
  <si>
    <t>TOTAL PRESUPUESTO APROBADO</t>
  </si>
  <si>
    <t>PRESUPUESTO    ORIGINAL                     31 JUL 2013</t>
  </si>
  <si>
    <t>2121</t>
  </si>
  <si>
    <t>2561</t>
  </si>
  <si>
    <t>Fibras Sintéticas, Hules, Plásticos y Derivados</t>
  </si>
  <si>
    <t>2721</t>
  </si>
  <si>
    <t>3363</t>
  </si>
  <si>
    <t>5231</t>
  </si>
  <si>
    <t>Cámaras Fotográficas y de Video</t>
  </si>
  <si>
    <t>5651</t>
  </si>
  <si>
    <t>2103</t>
  </si>
  <si>
    <t>2105</t>
  </si>
  <si>
    <t>2701</t>
  </si>
  <si>
    <t>2702</t>
  </si>
  <si>
    <t>3104</t>
  </si>
  <si>
    <t>3105</t>
  </si>
  <si>
    <t>3205</t>
  </si>
  <si>
    <t>3206</t>
  </si>
  <si>
    <t>3301</t>
  </si>
  <si>
    <t>3303</t>
  </si>
  <si>
    <t>3502</t>
  </si>
  <si>
    <t>3503</t>
  </si>
  <si>
    <t>3507</t>
  </si>
  <si>
    <t>CALENDARIZACION 2014 EN BASE AL PRESUPUESTO AUTORIZADO POR SEFIN</t>
  </si>
  <si>
    <t>27 00 61 632 00438 4142 00</t>
  </si>
  <si>
    <t>27 00 61 633 00438 4142 00</t>
  </si>
  <si>
    <t>ORDINARIAS</t>
  </si>
  <si>
    <t>ESPECIFICAS</t>
  </si>
  <si>
    <t>1345</t>
  </si>
  <si>
    <t>1204</t>
  </si>
  <si>
    <t>1307</t>
  </si>
  <si>
    <t>1403</t>
  </si>
  <si>
    <t>1442</t>
  </si>
  <si>
    <t>1501</t>
  </si>
  <si>
    <t>1801</t>
  </si>
  <si>
    <t>1325</t>
  </si>
  <si>
    <t>Material y Ütiles de Impresión y Reproducción</t>
  </si>
  <si>
    <t>Prendas de Seguridad y protección Personal</t>
  </si>
  <si>
    <t>Servicios de Acceso de Internet, Redes y Procesamiento de Información</t>
  </si>
  <si>
    <t>Servicios de Impresión,Publicaciones y Ediciones de Trabajos de Gobierno</t>
  </si>
  <si>
    <t>Equipo de Comunicación y Telecomunicación</t>
  </si>
  <si>
    <t>5101</t>
  </si>
  <si>
    <t>5102</t>
  </si>
  <si>
    <t>5206</t>
  </si>
  <si>
    <t>5103</t>
  </si>
  <si>
    <t>5301</t>
  </si>
  <si>
    <t>3171</t>
  </si>
  <si>
    <t>PASIVOS DEL EJERCICIO 2013 A EROGAR EN  2014</t>
  </si>
  <si>
    <t>EFECTIVO DISPONIBLE DEL EJERCICIO 2013</t>
  </si>
  <si>
    <t>2404</t>
  </si>
  <si>
    <t>2503</t>
  </si>
  <si>
    <t>Servicios Legales de Contabilidad, Auditoría y Relacionados</t>
  </si>
  <si>
    <t>Servicios de Consultoría Administrativa e Informática</t>
  </si>
  <si>
    <t>3402</t>
  </si>
  <si>
    <t>3601-001  3601-005  3601-006</t>
  </si>
  <si>
    <t>3604-001</t>
  </si>
  <si>
    <t>3604-002</t>
  </si>
  <si>
    <t>2302-001</t>
  </si>
  <si>
    <t>2302-002</t>
  </si>
  <si>
    <t>2302-003</t>
  </si>
  <si>
    <t>2302-004</t>
  </si>
  <si>
    <t>2402-001</t>
  </si>
  <si>
    <t>2402-004</t>
  </si>
  <si>
    <t>2402-005</t>
  </si>
  <si>
    <t>P  L  A  N</t>
  </si>
  <si>
    <t>REAL ACUMULADO          AL  30  DE SEPTIEMBRE</t>
  </si>
  <si>
    <t xml:space="preserve">  AJUSTE                       OCTUBRE 2014</t>
  </si>
  <si>
    <t>PRESUPUESTO AJUSTADO                   OCT 2014</t>
  </si>
  <si>
    <t>1347</t>
  </si>
  <si>
    <t>Compensación por Nómina</t>
  </si>
  <si>
    <t>1719</t>
  </si>
  <si>
    <t>Otros Estímulos</t>
  </si>
  <si>
    <t>Compensación Adicional</t>
  </si>
  <si>
    <t>Cuotas Para el Sistema de Ahorro para el Retiro ( SAR )</t>
  </si>
  <si>
    <t>Laudos, Liquidaciones e Indemnizaciones por Sueldos y Salarios Caídos</t>
  </si>
  <si>
    <t>Impacto al Salario en el Transcurso del Año</t>
  </si>
  <si>
    <t>2741</t>
  </si>
  <si>
    <t>Productos Textiles</t>
  </si>
  <si>
    <t>3691</t>
  </si>
  <si>
    <t>Otros Servicios de Información</t>
  </si>
  <si>
    <t>Pasajes Aéreos Nacionales</t>
  </si>
  <si>
    <t>3712</t>
  </si>
  <si>
    <t>Pasajes Aéreos Internacionales</t>
  </si>
  <si>
    <t>3791</t>
  </si>
  <si>
    <t>Otros Servicios de Traslado y Hospedaje</t>
  </si>
  <si>
    <t>3941</t>
  </si>
  <si>
    <t>Laudos Laborales</t>
  </si>
  <si>
    <t>Equipo de Cómputo y Tecnologías de la Información</t>
  </si>
  <si>
    <t>Sistemas de Aire Acondicionado, Calefacción y de Refrigeración</t>
  </si>
  <si>
    <t>Edificios No Residenciales</t>
  </si>
  <si>
    <t>ACUMULADO AL AJUSTE EN OCTUBRE 2014</t>
  </si>
  <si>
    <t>2402-002</t>
  </si>
  <si>
    <t xml:space="preserve">Pasajes terrestres Nacionales </t>
  </si>
  <si>
    <t>3701-004</t>
  </si>
  <si>
    <t>3701-005  3408</t>
  </si>
  <si>
    <t xml:space="preserve">  AJUSTE                       06 OCTUBRE 2014</t>
  </si>
  <si>
    <t>ESTADISTICO AL 31 DICIEMBRE  2014</t>
  </si>
  <si>
    <t>REAL     ACUMULADO           A DICIEMBRE</t>
  </si>
  <si>
    <t>PRESUPUESTO ACUMULADO           A DICIEMBRE</t>
  </si>
  <si>
    <t>AL 31 DE DICIEMBRE DEL 2014</t>
  </si>
  <si>
    <t>ACUMULADO AL 31 DE DICIEMBRE DE 2014</t>
  </si>
  <si>
    <t>REAL ACUMULADO          AL  31 DE DICIEMBRE</t>
  </si>
  <si>
    <t xml:space="preserve"> AL 31 DE DICIEMBRE DE 2014</t>
  </si>
  <si>
    <t>DEL 1º DE ENERO AL 31 DE DICIEMBRE DE 2014</t>
  </si>
  <si>
    <t>Otros Estímulos ( Viene de la 1543 )</t>
  </si>
  <si>
    <t>Laudos Laborales ( traspao de la 1523 )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</si>
</sst>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\ &quot;Pts&quot;_-;\-* #,##0\ &quot;Pts&quot;_-;_-* &quot;-&quot;\ &quot;Pts&quot;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.00\ _P_t_s_-;\-* #,##0.00\ _P_t_s_-;_-* &quot;-&quot;??\ _P_t_s_-;_-@_-"/>
    <numFmt numFmtId="169" formatCode="0.0%"/>
    <numFmt numFmtId="170" formatCode="#,##0_ ;\-#,##0\ "/>
    <numFmt numFmtId="171" formatCode="_-* #,##0\ _P_t_s_-;\-* #,##0\ _P_t_s_-;_-* &quot;-&quot;??\ _P_t_s_-;_-@_-"/>
    <numFmt numFmtId="172" formatCode="_(* #,##0_);_(* \(#,##0\);_(* &quot;-&quot;??_);_(@_)"/>
    <numFmt numFmtId="173" formatCode="_-* #,##0_-;\-* #,##0_-;_-* &quot;-&quot;??_-;_-@_-"/>
    <numFmt numFmtId="174" formatCode="_(* #,##0_);_(* \(#,##0\);_(* &quot;-&quot;?_);_(@_)"/>
    <numFmt numFmtId="175" formatCode="_(* #,##0.00_);_(* \(#,##0.00\);_(* &quot;-&quot;??_);_(@_)"/>
    <numFmt numFmtId="176" formatCode="#,##0_);\(#,##0\)"/>
    <numFmt numFmtId="177" formatCode="0.0000000000"/>
    <numFmt numFmtId="178" formatCode="0.0"/>
    <numFmt numFmtId="179" formatCode="_-* \(#,##0\)_-;\-* #,##0_-;_-* &quot;-&quot;??_-;_-@_-"/>
    <numFmt numFmtId="180" formatCode="_-* #,##0.0_-;\-* #,##0.0_-;_-* &quot;-&quot;??_-;_-@_-"/>
    <numFmt numFmtId="181" formatCode="_-* #,##0.0\ _P_t_s_-;\-* #,##0.0\ _P_t_s_-;_-* &quot;-&quot;??\ _P_t_s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[$-80A]dddd\,\ dd&quot; de &quot;mmmm&quot; de &quot;yyyy"/>
    <numFmt numFmtId="187" formatCode="[$-80A]hh:mm:ss\ AM/PM"/>
    <numFmt numFmtId="188" formatCode="0.000%"/>
    <numFmt numFmtId="189" formatCode="#,##0.0;\-#,##0.0"/>
    <numFmt numFmtId="190" formatCode="#,##0.000;\-#,##0.000"/>
    <numFmt numFmtId="191" formatCode="#,##0.0_ ;\-#,##0.0\ "/>
    <numFmt numFmtId="192" formatCode="0.0000%"/>
  </numFmts>
  <fonts count="53">
    <font>
      <sz val="12"/>
      <name val="Garamond"/>
      <family val="0"/>
    </font>
    <font>
      <sz val="10"/>
      <name val="Arial"/>
      <family val="2"/>
    </font>
    <font>
      <u val="single"/>
      <sz val="8.4"/>
      <color indexed="12"/>
      <name val="Garamond"/>
      <family val="1"/>
    </font>
    <font>
      <u val="single"/>
      <sz val="8.4"/>
      <color indexed="36"/>
      <name val="Garamond"/>
      <family val="1"/>
    </font>
    <font>
      <sz val="12"/>
      <name val="Trebuchet MS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sz val="11"/>
      <name val="Trebuchet MS"/>
      <family val="2"/>
    </font>
    <font>
      <b/>
      <sz val="13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15"/>
      <name val="Trebuchet MS"/>
      <family val="2"/>
    </font>
    <font>
      <b/>
      <sz val="18"/>
      <name val="Trebuchet MS"/>
      <family val="2"/>
    </font>
    <font>
      <sz val="9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0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176" fontId="4" fillId="0" borderId="11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37" fontId="6" fillId="0" borderId="0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37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37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9" fontId="4" fillId="0" borderId="0" xfId="59" applyFont="1" applyAlignment="1">
      <alignment/>
    </xf>
    <xf numFmtId="49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4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9" fillId="0" borderId="0" xfId="57" applyFo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0" fontId="9" fillId="0" borderId="0" xfId="57" applyFont="1" applyFill="1">
      <alignment/>
      <protection/>
    </xf>
    <xf numFmtId="43" fontId="9" fillId="0" borderId="0" xfId="51" applyFont="1" applyFill="1" applyAlignment="1">
      <alignment/>
    </xf>
    <xf numFmtId="0" fontId="11" fillId="0" borderId="0" xfId="57" applyFont="1">
      <alignment/>
      <protection/>
    </xf>
    <xf numFmtId="173" fontId="7" fillId="0" borderId="0" xfId="51" applyNumberFormat="1" applyFont="1" applyAlignment="1">
      <alignment/>
    </xf>
    <xf numFmtId="173" fontId="9" fillId="0" borderId="0" xfId="51" applyNumberFormat="1" applyFont="1" applyAlignment="1">
      <alignment/>
    </xf>
    <xf numFmtId="37" fontId="7" fillId="0" borderId="0" xfId="57" applyNumberFormat="1" applyFont="1">
      <alignment/>
      <protection/>
    </xf>
    <xf numFmtId="37" fontId="9" fillId="0" borderId="0" xfId="57" applyNumberFormat="1" applyFont="1">
      <alignment/>
      <protection/>
    </xf>
    <xf numFmtId="37" fontId="9" fillId="0" borderId="12" xfId="57" applyNumberFormat="1" applyFont="1" applyBorder="1">
      <alignment/>
      <protection/>
    </xf>
    <xf numFmtId="0" fontId="7" fillId="0" borderId="0" xfId="57" applyFont="1">
      <alignment/>
      <protection/>
    </xf>
    <xf numFmtId="173" fontId="9" fillId="0" borderId="12" xfId="51" applyNumberFormat="1" applyFont="1" applyBorder="1" applyAlignment="1">
      <alignment/>
    </xf>
    <xf numFmtId="172" fontId="9" fillId="0" borderId="0" xfId="51" applyNumberFormat="1" applyFont="1" applyAlignment="1">
      <alignment/>
    </xf>
    <xf numFmtId="173" fontId="9" fillId="0" borderId="14" xfId="51" applyNumberFormat="1" applyFont="1" applyBorder="1" applyAlignment="1">
      <alignment/>
    </xf>
    <xf numFmtId="43" fontId="8" fillId="0" borderId="0" xfId="57" applyNumberFormat="1" applyFont="1">
      <alignment/>
      <protection/>
    </xf>
    <xf numFmtId="43" fontId="9" fillId="0" borderId="0" xfId="57" applyNumberFormat="1" applyFont="1">
      <alignment/>
      <protection/>
    </xf>
    <xf numFmtId="0" fontId="9" fillId="0" borderId="0" xfId="57" applyFont="1" applyAlignment="1">
      <alignment/>
      <protection/>
    </xf>
    <xf numFmtId="43" fontId="9" fillId="0" borderId="0" xfId="51" applyFont="1" applyAlignment="1">
      <alignment/>
    </xf>
    <xf numFmtId="0" fontId="7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3" fontId="9" fillId="0" borderId="0" xfId="51" applyNumberFormat="1" applyFont="1" applyAlignment="1">
      <alignment/>
    </xf>
    <xf numFmtId="0" fontId="9" fillId="0" borderId="0" xfId="57" applyFont="1" applyFill="1" applyAlignment="1">
      <alignment/>
      <protection/>
    </xf>
    <xf numFmtId="43" fontId="9" fillId="0" borderId="0" xfId="51" applyFont="1" applyFill="1" applyAlignment="1">
      <alignment/>
    </xf>
    <xf numFmtId="0" fontId="11" fillId="0" borderId="0" xfId="57" applyFont="1" applyAlignment="1">
      <alignment/>
      <protection/>
    </xf>
    <xf numFmtId="173" fontId="7" fillId="0" borderId="0" xfId="51" applyNumberFormat="1" applyFont="1" applyAlignment="1">
      <alignment/>
    </xf>
    <xf numFmtId="37" fontId="7" fillId="0" borderId="0" xfId="57" applyNumberFormat="1" applyFont="1" applyAlignment="1">
      <alignment/>
      <protection/>
    </xf>
    <xf numFmtId="37" fontId="9" fillId="0" borderId="0" xfId="57" applyNumberFormat="1" applyFont="1" applyAlignment="1">
      <alignment/>
      <protection/>
    </xf>
    <xf numFmtId="0" fontId="7" fillId="0" borderId="0" xfId="57" applyFont="1" applyAlignment="1">
      <alignment/>
      <protection/>
    </xf>
    <xf numFmtId="173" fontId="9" fillId="0" borderId="14" xfId="51" applyNumberFormat="1" applyFont="1" applyBorder="1" applyAlignment="1">
      <alignment/>
    </xf>
    <xf numFmtId="1" fontId="9" fillId="0" borderId="0" xfId="57" applyNumberFormat="1" applyFont="1" applyAlignment="1">
      <alignment/>
      <protection/>
    </xf>
    <xf numFmtId="1" fontId="9" fillId="0" borderId="14" xfId="57" applyNumberFormat="1" applyFont="1" applyBorder="1" applyAlignment="1">
      <alignment/>
      <protection/>
    </xf>
    <xf numFmtId="43" fontId="9" fillId="0" borderId="0" xfId="51" applyFont="1" applyBorder="1" applyAlignment="1">
      <alignment/>
    </xf>
    <xf numFmtId="1" fontId="9" fillId="0" borderId="0" xfId="57" applyNumberFormat="1" applyFont="1" applyBorder="1" applyAlignment="1">
      <alignment/>
      <protection/>
    </xf>
    <xf numFmtId="173" fontId="9" fillId="0" borderId="0" xfId="51" applyNumberFormat="1" applyFont="1" applyFill="1" applyAlignment="1">
      <alignment/>
    </xf>
    <xf numFmtId="176" fontId="9" fillId="0" borderId="0" xfId="51" applyNumberFormat="1" applyFont="1" applyFill="1" applyAlignment="1">
      <alignment/>
    </xf>
    <xf numFmtId="173" fontId="9" fillId="0" borderId="0" xfId="57" applyNumberFormat="1" applyFont="1">
      <alignment/>
      <protection/>
    </xf>
    <xf numFmtId="173" fontId="9" fillId="0" borderId="0" xfId="51" applyNumberFormat="1" applyFont="1" applyFill="1" applyAlignment="1">
      <alignment/>
    </xf>
    <xf numFmtId="172" fontId="9" fillId="0" borderId="0" xfId="51" applyNumberFormat="1" applyFont="1" applyFill="1" applyAlignment="1">
      <alignment/>
    </xf>
    <xf numFmtId="176" fontId="4" fillId="0" borderId="0" xfId="0" applyNumberFormat="1" applyFont="1" applyBorder="1" applyAlignment="1">
      <alignment/>
    </xf>
    <xf numFmtId="172" fontId="9" fillId="0" borderId="0" xfId="51" applyNumberFormat="1" applyFont="1" applyAlignment="1">
      <alignment/>
    </xf>
    <xf numFmtId="176" fontId="7" fillId="0" borderId="0" xfId="51" applyNumberFormat="1" applyFont="1" applyFill="1" applyAlignment="1">
      <alignment/>
    </xf>
    <xf numFmtId="173" fontId="7" fillId="0" borderId="0" xfId="51" applyNumberFormat="1" applyFont="1" applyFill="1" applyAlignment="1">
      <alignment/>
    </xf>
    <xf numFmtId="168" fontId="9" fillId="0" borderId="0" xfId="48" applyFont="1" applyAlignment="1">
      <alignment horizontal="right"/>
    </xf>
    <xf numFmtId="171" fontId="9" fillId="0" borderId="0" xfId="48" applyNumberFormat="1" applyFont="1" applyAlignment="1">
      <alignment horizontal="center"/>
    </xf>
    <xf numFmtId="0" fontId="9" fillId="0" borderId="0" xfId="57" applyFont="1" applyAlignment="1">
      <alignment horizontal="center"/>
      <protection/>
    </xf>
    <xf numFmtId="171" fontId="9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173" fontId="9" fillId="0" borderId="0" xfId="48" applyNumberFormat="1" applyFont="1" applyAlignment="1">
      <alignment horizontal="center"/>
    </xf>
    <xf numFmtId="173" fontId="14" fillId="0" borderId="0" xfId="51" applyNumberFormat="1" applyFont="1" applyAlignment="1">
      <alignment horizontal="center"/>
    </xf>
    <xf numFmtId="9" fontId="4" fillId="0" borderId="0" xfId="59" applyNumberFormat="1" applyFont="1" applyAlignment="1">
      <alignment horizontal="right"/>
    </xf>
    <xf numFmtId="0" fontId="9" fillId="0" borderId="0" xfId="56" applyFont="1">
      <alignment/>
      <protection/>
    </xf>
    <xf numFmtId="164" fontId="4" fillId="0" borderId="11" xfId="0" applyNumberFormat="1" applyFont="1" applyBorder="1" applyAlignment="1">
      <alignment/>
    </xf>
    <xf numFmtId="37" fontId="4" fillId="0" borderId="11" xfId="0" applyNumberFormat="1" applyFont="1" applyFill="1" applyBorder="1" applyAlignment="1">
      <alignment/>
    </xf>
    <xf numFmtId="37" fontId="6" fillId="0" borderId="11" xfId="0" applyNumberFormat="1" applyFont="1" applyFill="1" applyBorder="1" applyAlignment="1">
      <alignment/>
    </xf>
    <xf numFmtId="0" fontId="4" fillId="0" borderId="0" xfId="57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15" fillId="33" borderId="18" xfId="0" applyFont="1" applyFill="1" applyBorder="1" applyAlignment="1">
      <alignment horizontal="center"/>
    </xf>
    <xf numFmtId="0" fontId="9" fillId="0" borderId="13" xfId="0" applyFont="1" applyBorder="1" applyAlignment="1">
      <alignment/>
    </xf>
    <xf numFmtId="173" fontId="9" fillId="0" borderId="0" xfId="0" applyNumberFormat="1" applyFont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173" fontId="6" fillId="34" borderId="19" xfId="50" applyNumberFormat="1" applyFont="1" applyFill="1" applyBorder="1" applyAlignment="1">
      <alignment horizontal="center" vertical="center" wrapText="1"/>
    </xf>
    <xf numFmtId="173" fontId="6" fillId="34" borderId="20" xfId="50" applyNumberFormat="1" applyFont="1" applyFill="1" applyBorder="1" applyAlignment="1">
      <alignment horizontal="center" vertical="center" wrapText="1"/>
    </xf>
    <xf numFmtId="173" fontId="6" fillId="0" borderId="0" xfId="50" applyNumberFormat="1" applyFont="1" applyBorder="1" applyAlignment="1">
      <alignment horizontal="center" vertical="center" wrapText="1"/>
    </xf>
    <xf numFmtId="0" fontId="9" fillId="0" borderId="0" xfId="56" applyFont="1" applyAlignment="1">
      <alignment vertical="center"/>
      <protection/>
    </xf>
    <xf numFmtId="0" fontId="8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vertical="center"/>
    </xf>
    <xf numFmtId="0" fontId="18" fillId="34" borderId="18" xfId="0" applyFont="1" applyFill="1" applyBorder="1" applyAlignment="1">
      <alignment horizontal="center" vertical="center"/>
    </xf>
    <xf numFmtId="0" fontId="9" fillId="0" borderId="0" xfId="56" applyFont="1" applyFill="1">
      <alignment/>
      <protection/>
    </xf>
    <xf numFmtId="0" fontId="7" fillId="10" borderId="18" xfId="0" applyFont="1" applyFill="1" applyBorder="1" applyAlignment="1">
      <alignment horizontal="center" vertical="center"/>
    </xf>
    <xf numFmtId="168" fontId="11" fillId="10" borderId="18" xfId="50" applyFont="1" applyFill="1" applyBorder="1" applyAlignment="1">
      <alignment horizontal="center"/>
    </xf>
    <xf numFmtId="173" fontId="5" fillId="0" borderId="18" xfId="50" applyNumberFormat="1" applyFont="1" applyBorder="1" applyAlignment="1">
      <alignment/>
    </xf>
    <xf numFmtId="0" fontId="5" fillId="0" borderId="18" xfId="0" applyFont="1" applyFill="1" applyBorder="1" applyAlignment="1">
      <alignment horizontal="right"/>
    </xf>
    <xf numFmtId="173" fontId="5" fillId="0" borderId="18" xfId="50" applyNumberFormat="1" applyFont="1" applyFill="1" applyBorder="1" applyAlignment="1">
      <alignment/>
    </xf>
    <xf numFmtId="179" fontId="5" fillId="0" borderId="18" xfId="5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 vertical="center"/>
    </xf>
    <xf numFmtId="173" fontId="15" fillId="33" borderId="18" xfId="50" applyNumberFormat="1" applyFont="1" applyFill="1" applyBorder="1" applyAlignment="1">
      <alignment/>
    </xf>
    <xf numFmtId="173" fontId="5" fillId="35" borderId="18" xfId="50" applyNumberFormat="1" applyFont="1" applyFill="1" applyBorder="1" applyAlignment="1">
      <alignment/>
    </xf>
    <xf numFmtId="0" fontId="7" fillId="4" borderId="21" xfId="0" applyFont="1" applyFill="1" applyBorder="1" applyAlignment="1">
      <alignment/>
    </xf>
    <xf numFmtId="37" fontId="7" fillId="4" borderId="21" xfId="0" applyNumberFormat="1" applyFont="1" applyFill="1" applyBorder="1" applyAlignment="1">
      <alignment/>
    </xf>
    <xf numFmtId="173" fontId="8" fillId="4" borderId="21" xfId="57" applyNumberFormat="1" applyFont="1" applyFill="1" applyBorder="1">
      <alignment/>
      <protection/>
    </xf>
    <xf numFmtId="0" fontId="10" fillId="7" borderId="0" xfId="57" applyFont="1" applyFill="1">
      <alignment/>
      <protection/>
    </xf>
    <xf numFmtId="0" fontId="9" fillId="7" borderId="0" xfId="57" applyFont="1" applyFill="1">
      <alignment/>
      <protection/>
    </xf>
    <xf numFmtId="0" fontId="7" fillId="7" borderId="21" xfId="0" applyFont="1" applyFill="1" applyBorder="1" applyAlignment="1">
      <alignment/>
    </xf>
    <xf numFmtId="37" fontId="7" fillId="7" borderId="21" xfId="0" applyNumberFormat="1" applyFont="1" applyFill="1" applyBorder="1" applyAlignment="1">
      <alignment/>
    </xf>
    <xf numFmtId="164" fontId="7" fillId="7" borderId="21" xfId="0" applyNumberFormat="1" applyFont="1" applyFill="1" applyBorder="1" applyAlignment="1">
      <alignment/>
    </xf>
    <xf numFmtId="0" fontId="7" fillId="4" borderId="21" xfId="0" applyFont="1" applyFill="1" applyBorder="1" applyAlignment="1">
      <alignment/>
    </xf>
    <xf numFmtId="37" fontId="7" fillId="4" borderId="21" xfId="0" applyNumberFormat="1" applyFont="1" applyFill="1" applyBorder="1" applyAlignment="1">
      <alignment/>
    </xf>
    <xf numFmtId="176" fontId="7" fillId="4" borderId="21" xfId="0" applyNumberFormat="1" applyFont="1" applyFill="1" applyBorder="1" applyAlignment="1">
      <alignment/>
    </xf>
    <xf numFmtId="0" fontId="10" fillId="7" borderId="0" xfId="57" applyFont="1" applyFill="1" applyAlignment="1">
      <alignment/>
      <protection/>
    </xf>
    <xf numFmtId="0" fontId="9" fillId="7" borderId="0" xfId="57" applyFont="1" applyFill="1" applyAlignment="1">
      <alignment/>
      <protection/>
    </xf>
    <xf numFmtId="0" fontId="7" fillId="7" borderId="0" xfId="57" applyFont="1" applyFill="1" applyAlignment="1">
      <alignment/>
      <protection/>
    </xf>
    <xf numFmtId="43" fontId="9" fillId="7" borderId="0" xfId="51" applyFont="1" applyFill="1" applyAlignment="1">
      <alignment/>
    </xf>
    <xf numFmtId="164" fontId="7" fillId="7" borderId="22" xfId="51" applyNumberFormat="1" applyFont="1" applyFill="1" applyBorder="1" applyAlignment="1">
      <alignment/>
    </xf>
    <xf numFmtId="0" fontId="7" fillId="7" borderId="21" xfId="0" applyFont="1" applyFill="1" applyBorder="1" applyAlignment="1">
      <alignment/>
    </xf>
    <xf numFmtId="37" fontId="7" fillId="7" borderId="21" xfId="0" applyNumberFormat="1" applyFont="1" applyFill="1" applyBorder="1" applyAlignment="1">
      <alignment/>
    </xf>
    <xf numFmtId="176" fontId="7" fillId="7" borderId="21" xfId="0" applyNumberFormat="1" applyFont="1" applyFill="1" applyBorder="1" applyAlignment="1">
      <alignment/>
    </xf>
    <xf numFmtId="0" fontId="7" fillId="7" borderId="21" xfId="57" applyFont="1" applyFill="1" applyBorder="1" applyAlignment="1">
      <alignment/>
      <protection/>
    </xf>
    <xf numFmtId="0" fontId="9" fillId="7" borderId="21" xfId="57" applyFont="1" applyFill="1" applyBorder="1" applyAlignment="1">
      <alignment/>
      <protection/>
    </xf>
    <xf numFmtId="43" fontId="9" fillId="7" borderId="21" xfId="51" applyFont="1" applyFill="1" applyBorder="1" applyAlignment="1">
      <alignment/>
    </xf>
    <xf numFmtId="164" fontId="7" fillId="7" borderId="21" xfId="51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vertical="center"/>
    </xf>
    <xf numFmtId="169" fontId="4" fillId="0" borderId="11" xfId="59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7" fontId="4" fillId="0" borderId="0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vertical="center"/>
      <protection locked="0"/>
    </xf>
    <xf numFmtId="4" fontId="4" fillId="0" borderId="0" xfId="0" applyNumberFormat="1" applyFont="1" applyFill="1" applyBorder="1" applyAlignment="1">
      <alignment vertical="center" wrapText="1"/>
    </xf>
    <xf numFmtId="4" fontId="8" fillId="10" borderId="23" xfId="0" applyNumberFormat="1" applyFont="1" applyFill="1" applyBorder="1" applyAlignment="1">
      <alignment horizontal="center" vertical="center" wrapText="1"/>
    </xf>
    <xf numFmtId="4" fontId="7" fillId="10" borderId="24" xfId="0" applyNumberFormat="1" applyFont="1" applyFill="1" applyBorder="1" applyAlignment="1">
      <alignment horizontal="center" vertical="center" wrapText="1"/>
    </xf>
    <xf numFmtId="4" fontId="8" fillId="10" borderId="24" xfId="0" applyNumberFormat="1" applyFont="1" applyFill="1" applyBorder="1" applyAlignment="1">
      <alignment horizontal="center" vertical="center" wrapText="1"/>
    </xf>
    <xf numFmtId="9" fontId="16" fillId="10" borderId="25" xfId="59" applyNumberFormat="1" applyFont="1" applyFill="1" applyBorder="1" applyAlignment="1">
      <alignment horizontal="center" vertical="center" wrapText="1"/>
    </xf>
    <xf numFmtId="37" fontId="4" fillId="0" borderId="26" xfId="0" applyNumberFormat="1" applyFont="1" applyFill="1" applyBorder="1" applyAlignment="1">
      <alignment/>
    </xf>
    <xf numFmtId="169" fontId="4" fillId="0" borderId="26" xfId="0" applyNumberFormat="1" applyFont="1" applyFill="1" applyBorder="1" applyAlignment="1">
      <alignment/>
    </xf>
    <xf numFmtId="10" fontId="4" fillId="0" borderId="27" xfId="59" applyNumberFormat="1" applyFont="1" applyFill="1" applyBorder="1" applyAlignment="1">
      <alignment/>
    </xf>
    <xf numFmtId="9" fontId="4" fillId="0" borderId="0" xfId="59" applyNumberFormat="1" applyFont="1" applyFill="1" applyAlignment="1">
      <alignment horizontal="right"/>
    </xf>
    <xf numFmtId="49" fontId="4" fillId="0" borderId="28" xfId="0" applyNumberFormat="1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/>
    </xf>
    <xf numFmtId="169" fontId="4" fillId="0" borderId="27" xfId="59" applyNumberFormat="1" applyFont="1" applyFill="1" applyBorder="1" applyAlignment="1">
      <alignment horizontal="right"/>
    </xf>
    <xf numFmtId="37" fontId="4" fillId="0" borderId="26" xfId="0" applyNumberFormat="1" applyFont="1" applyFill="1" applyBorder="1" applyAlignment="1" applyProtection="1">
      <alignment/>
      <protection locked="0"/>
    </xf>
    <xf numFmtId="164" fontId="4" fillId="0" borderId="26" xfId="0" applyNumberFormat="1" applyFont="1" applyFill="1" applyBorder="1" applyAlignment="1" applyProtection="1">
      <alignment/>
      <protection locked="0"/>
    </xf>
    <xf numFmtId="49" fontId="4" fillId="4" borderId="10" xfId="0" applyNumberFormat="1" applyFont="1" applyFill="1" applyBorder="1" applyAlignment="1">
      <alignment horizontal="center" vertical="center"/>
    </xf>
    <xf numFmtId="4" fontId="4" fillId="4" borderId="0" xfId="0" applyNumberFormat="1" applyFont="1" applyFill="1" applyBorder="1" applyAlignment="1">
      <alignment vertical="center" wrapText="1"/>
    </xf>
    <xf numFmtId="37" fontId="4" fillId="4" borderId="0" xfId="0" applyNumberFormat="1" applyFont="1" applyFill="1" applyBorder="1" applyAlignment="1">
      <alignment vertical="center"/>
    </xf>
    <xf numFmtId="164" fontId="4" fillId="4" borderId="0" xfId="0" applyNumberFormat="1" applyFont="1" applyFill="1" applyBorder="1" applyAlignment="1">
      <alignment vertical="center"/>
    </xf>
    <xf numFmtId="169" fontId="4" fillId="4" borderId="11" xfId="59" applyNumberFormat="1" applyFont="1" applyFill="1" applyBorder="1" applyAlignment="1">
      <alignment horizontal="right" vertical="center"/>
    </xf>
    <xf numFmtId="49" fontId="5" fillId="10" borderId="29" xfId="0" applyNumberFormat="1" applyFont="1" applyFill="1" applyBorder="1" applyAlignment="1">
      <alignment horizontal="center" vertical="center"/>
    </xf>
    <xf numFmtId="4" fontId="5" fillId="10" borderId="21" xfId="0" applyNumberFormat="1" applyFont="1" applyFill="1" applyBorder="1" applyAlignment="1">
      <alignment vertical="center"/>
    </xf>
    <xf numFmtId="37" fontId="12" fillId="10" borderId="21" xfId="0" applyNumberFormat="1" applyFont="1" applyFill="1" applyBorder="1" applyAlignment="1" applyProtection="1">
      <alignment vertical="center"/>
      <protection locked="0"/>
    </xf>
    <xf numFmtId="9" fontId="12" fillId="10" borderId="30" xfId="59" applyFont="1" applyFill="1" applyBorder="1" applyAlignment="1" applyProtection="1">
      <alignment horizontal="right" vertical="center"/>
      <protection locked="0"/>
    </xf>
    <xf numFmtId="49" fontId="4" fillId="0" borderId="26" xfId="0" applyNumberFormat="1" applyFont="1" applyFill="1" applyBorder="1" applyAlignment="1">
      <alignment horizontal="center"/>
    </xf>
    <xf numFmtId="49" fontId="5" fillId="10" borderId="21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7" fillId="10" borderId="23" xfId="0" applyNumberFormat="1" applyFont="1" applyFill="1" applyBorder="1" applyAlignment="1">
      <alignment horizontal="center" vertical="center" wrapText="1"/>
    </xf>
    <xf numFmtId="3" fontId="7" fillId="10" borderId="24" xfId="0" applyNumberFormat="1" applyFont="1" applyFill="1" applyBorder="1" applyAlignment="1" applyProtection="1">
      <alignment horizontal="center" vertical="center" wrapText="1"/>
      <protection locked="0"/>
    </xf>
    <xf numFmtId="41" fontId="4" fillId="0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>
      <alignment vertical="center"/>
    </xf>
    <xf numFmtId="41" fontId="4" fillId="4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/>
    </xf>
    <xf numFmtId="164" fontId="4" fillId="4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43" fontId="4" fillId="0" borderId="0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4" borderId="28" xfId="0" applyFont="1" applyFill="1" applyBorder="1" applyAlignment="1">
      <alignment/>
    </xf>
    <xf numFmtId="0" fontId="4" fillId="4" borderId="26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6" fillId="4" borderId="3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25" xfId="0" applyFont="1" applyFill="1" applyBorder="1" applyAlignment="1">
      <alignment horizontal="center"/>
    </xf>
    <xf numFmtId="3" fontId="4" fillId="4" borderId="0" xfId="0" applyNumberFormat="1" applyFont="1" applyFill="1" applyAlignment="1">
      <alignment horizontal="center"/>
    </xf>
    <xf numFmtId="0" fontId="6" fillId="4" borderId="29" xfId="0" applyFont="1" applyFill="1" applyBorder="1" applyAlignment="1">
      <alignment/>
    </xf>
    <xf numFmtId="37" fontId="6" fillId="4" borderId="21" xfId="0" applyNumberFormat="1" applyFont="1" applyFill="1" applyBorder="1" applyAlignment="1">
      <alignment/>
    </xf>
    <xf numFmtId="172" fontId="6" fillId="4" borderId="30" xfId="0" applyNumberFormat="1" applyFont="1" applyFill="1" applyBorder="1" applyAlignment="1">
      <alignment/>
    </xf>
    <xf numFmtId="0" fontId="6" fillId="4" borderId="32" xfId="0" applyFont="1" applyFill="1" applyBorder="1" applyAlignment="1">
      <alignment/>
    </xf>
    <xf numFmtId="37" fontId="6" fillId="4" borderId="33" xfId="0" applyNumberFormat="1" applyFont="1" applyFill="1" applyBorder="1" applyAlignment="1">
      <alignment/>
    </xf>
    <xf numFmtId="176" fontId="6" fillId="4" borderId="34" xfId="0" applyNumberFormat="1" applyFont="1" applyFill="1" applyBorder="1" applyAlignment="1">
      <alignment/>
    </xf>
    <xf numFmtId="0" fontId="7" fillId="4" borderId="32" xfId="0" applyFont="1" applyFill="1" applyBorder="1" applyAlignment="1">
      <alignment/>
    </xf>
    <xf numFmtId="176" fontId="6" fillId="4" borderId="30" xfId="0" applyNumberFormat="1" applyFont="1" applyFill="1" applyBorder="1" applyAlignment="1">
      <alignment/>
    </xf>
    <xf numFmtId="0" fontId="6" fillId="10" borderId="29" xfId="0" applyFont="1" applyFill="1" applyBorder="1" applyAlignment="1">
      <alignment/>
    </xf>
    <xf numFmtId="176" fontId="6" fillId="10" borderId="21" xfId="0" applyNumberFormat="1" applyFont="1" applyFill="1" applyBorder="1" applyAlignment="1">
      <alignment/>
    </xf>
    <xf numFmtId="176" fontId="6" fillId="10" borderId="30" xfId="0" applyNumberFormat="1" applyFont="1" applyFill="1" applyBorder="1" applyAlignment="1">
      <alignment/>
    </xf>
    <xf numFmtId="4" fontId="7" fillId="10" borderId="29" xfId="0" applyNumberFormat="1" applyFont="1" applyFill="1" applyBorder="1" applyAlignment="1">
      <alignment horizontal="center" vertical="center"/>
    </xf>
    <xf numFmtId="37" fontId="7" fillId="10" borderId="21" xfId="0" applyNumberFormat="1" applyFont="1" applyFill="1" applyBorder="1" applyAlignment="1">
      <alignment horizontal="center" vertical="center"/>
    </xf>
    <xf numFmtId="37" fontId="7" fillId="10" borderId="21" xfId="0" applyNumberFormat="1" applyFont="1" applyFill="1" applyBorder="1" applyAlignment="1">
      <alignment horizontal="center" vertical="justify"/>
    </xf>
    <xf numFmtId="37" fontId="7" fillId="10" borderId="30" xfId="0" applyNumberFormat="1" applyFont="1" applyFill="1" applyBorder="1" applyAlignment="1">
      <alignment horizontal="centerContinuous" vertical="distributed"/>
    </xf>
    <xf numFmtId="4" fontId="6" fillId="4" borderId="29" xfId="0" applyNumberFormat="1" applyFont="1" applyFill="1" applyBorder="1" applyAlignment="1">
      <alignment/>
    </xf>
    <xf numFmtId="172" fontId="6" fillId="4" borderId="21" xfId="0" applyNumberFormat="1" applyFont="1" applyFill="1" applyBorder="1" applyAlignment="1">
      <alignment/>
    </xf>
    <xf numFmtId="164" fontId="6" fillId="4" borderId="21" xfId="0" applyNumberFormat="1" applyFont="1" applyFill="1" applyBorder="1" applyAlignment="1">
      <alignment/>
    </xf>
    <xf numFmtId="164" fontId="6" fillId="4" borderId="30" xfId="0" applyNumberFormat="1" applyFont="1" applyFill="1" applyBorder="1" applyAlignment="1">
      <alignment/>
    </xf>
    <xf numFmtId="4" fontId="6" fillId="10" borderId="23" xfId="0" applyNumberFormat="1" applyFont="1" applyFill="1" applyBorder="1" applyAlignment="1">
      <alignment/>
    </xf>
    <xf numFmtId="37" fontId="6" fillId="10" borderId="24" xfId="0" applyNumberFormat="1" applyFont="1" applyFill="1" applyBorder="1" applyAlignment="1">
      <alignment/>
    </xf>
    <xf numFmtId="164" fontId="6" fillId="10" borderId="24" xfId="0" applyNumberFormat="1" applyFont="1" applyFill="1" applyBorder="1" applyAlignment="1">
      <alignment/>
    </xf>
    <xf numFmtId="164" fontId="6" fillId="10" borderId="25" xfId="0" applyNumberFormat="1" applyFont="1" applyFill="1" applyBorder="1" applyAlignment="1">
      <alignment/>
    </xf>
    <xf numFmtId="169" fontId="6" fillId="0" borderId="0" xfId="59" applyNumberFormat="1" applyFont="1" applyBorder="1" applyAlignment="1" applyProtection="1">
      <alignment horizontal="center"/>
      <protection locked="0"/>
    </xf>
    <xf numFmtId="169" fontId="5" fillId="0" borderId="0" xfId="59" applyNumberFormat="1" applyFont="1" applyBorder="1" applyAlignment="1" applyProtection="1">
      <alignment horizontal="center"/>
      <protection locked="0"/>
    </xf>
    <xf numFmtId="169" fontId="16" fillId="10" borderId="25" xfId="59" applyNumberFormat="1" applyFont="1" applyFill="1" applyBorder="1" applyAlignment="1">
      <alignment horizontal="center" vertical="center" wrapText="1"/>
    </xf>
    <xf numFmtId="169" fontId="4" fillId="0" borderId="27" xfId="59" applyNumberFormat="1" applyFont="1" applyFill="1" applyBorder="1" applyAlignment="1" applyProtection="1">
      <alignment horizontal="center"/>
      <protection locked="0"/>
    </xf>
    <xf numFmtId="169" fontId="4" fillId="4" borderId="11" xfId="59" applyNumberFormat="1" applyFont="1" applyFill="1" applyBorder="1" applyAlignment="1" applyProtection="1">
      <alignment horizontal="center" vertical="center"/>
      <protection locked="0"/>
    </xf>
    <xf numFmtId="169" fontId="4" fillId="0" borderId="11" xfId="59" applyNumberFormat="1" applyFont="1" applyFill="1" applyBorder="1" applyAlignment="1" applyProtection="1">
      <alignment horizontal="center" vertical="center"/>
      <protection locked="0"/>
    </xf>
    <xf numFmtId="169" fontId="4" fillId="0" borderId="0" xfId="59" applyNumberFormat="1" applyFont="1" applyAlignment="1">
      <alignment/>
    </xf>
    <xf numFmtId="4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37" fontId="5" fillId="10" borderId="21" xfId="0" applyNumberFormat="1" applyFont="1" applyFill="1" applyBorder="1" applyAlignment="1" applyProtection="1">
      <alignment vertical="center"/>
      <protection locked="0"/>
    </xf>
    <xf numFmtId="164" fontId="5" fillId="10" borderId="21" xfId="0" applyNumberFormat="1" applyFont="1" applyFill="1" applyBorder="1" applyAlignment="1" applyProtection="1">
      <alignment vertical="center"/>
      <protection locked="0"/>
    </xf>
    <xf numFmtId="169" fontId="5" fillId="10" borderId="30" xfId="59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vertical="center"/>
    </xf>
    <xf numFmtId="37" fontId="5" fillId="0" borderId="0" xfId="0" applyNumberFormat="1" applyFont="1" applyFill="1" applyBorder="1" applyAlignment="1" applyProtection="1">
      <alignment vertical="center"/>
      <protection locked="0"/>
    </xf>
    <xf numFmtId="9" fontId="5" fillId="0" borderId="11" xfId="59" applyFont="1" applyFill="1" applyBorder="1" applyAlignment="1" applyProtection="1">
      <alignment horizontal="right" vertical="center"/>
      <protection locked="0"/>
    </xf>
    <xf numFmtId="169" fontId="5" fillId="0" borderId="11" xfId="5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173" fontId="6" fillId="0" borderId="0" xfId="50" applyNumberFormat="1" applyFont="1" applyFill="1" applyBorder="1" applyAlignment="1">
      <alignment horizontal="center" vertical="center" wrapText="1"/>
    </xf>
    <xf numFmtId="173" fontId="4" fillId="0" borderId="18" xfId="50" applyNumberFormat="1" applyFont="1" applyBorder="1" applyAlignment="1">
      <alignment/>
    </xf>
    <xf numFmtId="173" fontId="4" fillId="0" borderId="18" xfId="50" applyNumberFormat="1" applyFont="1" applyFill="1" applyBorder="1" applyAlignment="1">
      <alignment/>
    </xf>
    <xf numFmtId="173" fontId="4" fillId="33" borderId="18" xfId="5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31" xfId="0" applyNumberFormat="1" applyFont="1" applyFill="1" applyBorder="1" applyAlignment="1" applyProtection="1">
      <alignment horizontal="center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35" xfId="0" applyNumberFormat="1" applyFont="1" applyFill="1" applyBorder="1" applyAlignment="1" applyProtection="1">
      <alignment horizontal="center"/>
      <protection locked="0"/>
    </xf>
    <xf numFmtId="49" fontId="6" fillId="0" borderId="22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Fill="1" applyAlignment="1">
      <alignment/>
    </xf>
    <xf numFmtId="169" fontId="5" fillId="0" borderId="0" xfId="59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37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9" fontId="4" fillId="0" borderId="0" xfId="59" applyFont="1" applyFill="1" applyAlignment="1">
      <alignment/>
    </xf>
    <xf numFmtId="169" fontId="4" fillId="0" borderId="0" xfId="59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left" vertical="center" wrapText="1"/>
    </xf>
    <xf numFmtId="10" fontId="4" fillId="4" borderId="11" xfId="59" applyNumberFormat="1" applyFont="1" applyFill="1" applyBorder="1" applyAlignment="1" applyProtection="1">
      <alignment horizontal="center" vertical="center"/>
      <protection locked="0"/>
    </xf>
    <xf numFmtId="172" fontId="8" fillId="4" borderId="21" xfId="57" applyNumberFormat="1" applyFont="1" applyFill="1" applyBorder="1">
      <alignment/>
      <protection/>
    </xf>
    <xf numFmtId="49" fontId="9" fillId="4" borderId="0" xfId="0" applyNumberFormat="1" applyFont="1" applyFill="1" applyBorder="1" applyAlignment="1">
      <alignment horizontal="center" vertical="center" wrapText="1"/>
    </xf>
    <xf numFmtId="49" fontId="14" fillId="4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37" fontId="5" fillId="0" borderId="0" xfId="0" applyNumberFormat="1" applyFont="1" applyFill="1" applyBorder="1" applyAlignment="1" applyProtection="1">
      <alignment vertical="center"/>
      <protection/>
    </xf>
    <xf numFmtId="174" fontId="4" fillId="0" borderId="0" xfId="0" applyNumberFormat="1" applyFont="1" applyFill="1" applyBorder="1" applyAlignment="1" applyProtection="1">
      <alignment vertical="center"/>
      <protection locked="0"/>
    </xf>
    <xf numFmtId="10" fontId="12" fillId="10" borderId="21" xfId="59" applyNumberFormat="1" applyFont="1" applyFill="1" applyBorder="1" applyAlignment="1" applyProtection="1">
      <alignment vertical="center"/>
      <protection locked="0"/>
    </xf>
    <xf numFmtId="10" fontId="12" fillId="10" borderId="21" xfId="59" applyNumberFormat="1" applyFont="1" applyFill="1" applyBorder="1" applyAlignment="1" applyProtection="1">
      <alignment horizontal="right" vertical="center"/>
      <protection locked="0"/>
    </xf>
    <xf numFmtId="4" fontId="4" fillId="4" borderId="0" xfId="0" applyNumberFormat="1" applyFont="1" applyFill="1" applyBorder="1" applyAlignment="1">
      <alignment vertical="center"/>
    </xf>
    <xf numFmtId="10" fontId="5" fillId="10" borderId="21" xfId="59" applyNumberFormat="1" applyFont="1" applyFill="1" applyBorder="1" applyAlignment="1">
      <alignment vertical="center"/>
    </xf>
    <xf numFmtId="10" fontId="5" fillId="10" borderId="30" xfId="59" applyNumberFormat="1" applyFont="1" applyFill="1" applyBorder="1" applyAlignment="1">
      <alignment vertical="center"/>
    </xf>
    <xf numFmtId="41" fontId="5" fillId="10" borderId="21" xfId="0" applyNumberFormat="1" applyFont="1" applyFill="1" applyBorder="1" applyAlignment="1" applyProtection="1">
      <alignment vertical="center"/>
      <protection locked="0"/>
    </xf>
    <xf numFmtId="10" fontId="5" fillId="0" borderId="0" xfId="59" applyNumberFormat="1" applyFont="1" applyFill="1" applyBorder="1" applyAlignment="1">
      <alignment vertical="center"/>
    </xf>
    <xf numFmtId="10" fontId="5" fillId="0" borderId="11" xfId="59" applyNumberFormat="1" applyFont="1" applyFill="1" applyBorder="1" applyAlignment="1">
      <alignment vertical="center"/>
    </xf>
    <xf numFmtId="169" fontId="5" fillId="0" borderId="11" xfId="59" applyNumberFormat="1" applyFont="1" applyFill="1" applyBorder="1" applyAlignment="1" applyProtection="1">
      <alignment vertical="center"/>
      <protection/>
    </xf>
    <xf numFmtId="4" fontId="5" fillId="10" borderId="21" xfId="0" applyNumberFormat="1" applyFont="1" applyFill="1" applyBorder="1" applyAlignment="1">
      <alignment horizontal="center" vertical="center"/>
    </xf>
    <xf numFmtId="37" fontId="5" fillId="10" borderId="21" xfId="0" applyNumberFormat="1" applyFont="1" applyFill="1" applyBorder="1" applyAlignment="1" applyProtection="1">
      <alignment vertical="center"/>
      <protection/>
    </xf>
    <xf numFmtId="9" fontId="5" fillId="10" borderId="30" xfId="59" applyFont="1" applyFill="1" applyBorder="1" applyAlignment="1" applyProtection="1">
      <alignment horizontal="right" vertical="center"/>
      <protection locked="0"/>
    </xf>
    <xf numFmtId="10" fontId="5" fillId="10" borderId="21" xfId="59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Alignment="1">
      <alignment vertical="center"/>
    </xf>
    <xf numFmtId="164" fontId="12" fillId="10" borderId="21" xfId="0" applyNumberFormat="1" applyFont="1" applyFill="1" applyBorder="1" applyAlignment="1" applyProtection="1">
      <alignment vertical="center"/>
      <protection locked="0"/>
    </xf>
    <xf numFmtId="41" fontId="5" fillId="10" borderId="21" xfId="0" applyNumberFormat="1" applyFont="1" applyFill="1" applyBorder="1" applyAlignment="1" applyProtection="1">
      <alignment vertical="center"/>
      <protection/>
    </xf>
    <xf numFmtId="173" fontId="4" fillId="0" borderId="11" xfId="0" applyNumberFormat="1" applyFont="1" applyBorder="1" applyAlignment="1">
      <alignment/>
    </xf>
    <xf numFmtId="4" fontId="6" fillId="10" borderId="29" xfId="0" applyNumberFormat="1" applyFont="1" applyFill="1" applyBorder="1" applyAlignment="1">
      <alignment vertical="center"/>
    </xf>
    <xf numFmtId="37" fontId="6" fillId="10" borderId="21" xfId="0" applyNumberFormat="1" applyFont="1" applyFill="1" applyBorder="1" applyAlignment="1">
      <alignment vertical="center"/>
    </xf>
    <xf numFmtId="172" fontId="6" fillId="10" borderId="21" xfId="0" applyNumberFormat="1" applyFont="1" applyFill="1" applyBorder="1" applyAlignment="1">
      <alignment vertical="center"/>
    </xf>
    <xf numFmtId="172" fontId="6" fillId="10" borderId="30" xfId="0" applyNumberFormat="1" applyFont="1" applyFill="1" applyBorder="1" applyAlignment="1">
      <alignment vertical="center"/>
    </xf>
    <xf numFmtId="4" fontId="6" fillId="4" borderId="29" xfId="0" applyNumberFormat="1" applyFont="1" applyFill="1" applyBorder="1" applyAlignment="1">
      <alignment vertical="center"/>
    </xf>
    <xf numFmtId="172" fontId="6" fillId="4" borderId="21" xfId="0" applyNumberFormat="1" applyFont="1" applyFill="1" applyBorder="1" applyAlignment="1">
      <alignment vertical="center"/>
    </xf>
    <xf numFmtId="172" fontId="6" fillId="4" borderId="30" xfId="0" applyNumberFormat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10" fontId="4" fillId="4" borderId="0" xfId="59" applyNumberFormat="1" applyFont="1" applyFill="1" applyBorder="1" applyAlignment="1">
      <alignment horizontal="right" vertical="center"/>
    </xf>
    <xf numFmtId="10" fontId="4" fillId="0" borderId="0" xfId="59" applyNumberFormat="1" applyFont="1" applyFill="1" applyBorder="1" applyAlignment="1">
      <alignment horizontal="right" vertical="center"/>
    </xf>
    <xf numFmtId="10" fontId="5" fillId="0" borderId="0" xfId="59" applyNumberFormat="1" applyFont="1" applyFill="1" applyBorder="1" applyAlignment="1" applyProtection="1">
      <alignment horizontal="right" vertical="center"/>
      <protection locked="0"/>
    </xf>
    <xf numFmtId="10" fontId="4" fillId="4" borderId="0" xfId="0" applyNumberFormat="1" applyFont="1" applyFill="1" applyBorder="1" applyAlignment="1">
      <alignment vertical="center"/>
    </xf>
    <xf numFmtId="10" fontId="5" fillId="10" borderId="21" xfId="59" applyNumberFormat="1" applyFont="1" applyFill="1" applyBorder="1" applyAlignment="1" applyProtection="1">
      <alignment vertical="center"/>
      <protection/>
    </xf>
    <xf numFmtId="4" fontId="7" fillId="10" borderId="24" xfId="0" applyNumberFormat="1" applyFont="1" applyFill="1" applyBorder="1" applyAlignment="1">
      <alignment horizontal="center" vertical="center"/>
    </xf>
    <xf numFmtId="4" fontId="4" fillId="0" borderId="26" xfId="0" applyNumberFormat="1" applyFont="1" applyFill="1" applyBorder="1" applyAlignment="1">
      <alignment/>
    </xf>
    <xf numFmtId="0" fontId="6" fillId="4" borderId="0" xfId="0" applyFont="1" applyFill="1" applyBorder="1" applyAlignment="1">
      <alignment horizontal="center"/>
    </xf>
    <xf numFmtId="49" fontId="6" fillId="36" borderId="22" xfId="0" applyNumberFormat="1" applyFont="1" applyFill="1" applyBorder="1" applyAlignment="1" applyProtection="1">
      <alignment horizontal="center"/>
      <protection locked="0"/>
    </xf>
    <xf numFmtId="4" fontId="7" fillId="36" borderId="23" xfId="0" applyNumberFormat="1" applyFont="1" applyFill="1" applyBorder="1" applyAlignment="1">
      <alignment horizontal="center" vertical="center" wrapText="1"/>
    </xf>
    <xf numFmtId="4" fontId="7" fillId="36" borderId="24" xfId="0" applyNumberFormat="1" applyFont="1" applyFill="1" applyBorder="1" applyAlignment="1">
      <alignment horizontal="center" vertical="center" wrapText="1"/>
    </xf>
    <xf numFmtId="4" fontId="8" fillId="36" borderId="24" xfId="0" applyNumberFormat="1" applyFont="1" applyFill="1" applyBorder="1" applyAlignment="1">
      <alignment horizontal="center" vertical="center" wrapText="1"/>
    </xf>
    <xf numFmtId="169" fontId="16" fillId="36" borderId="25" xfId="59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3" fontId="9" fillId="0" borderId="0" xfId="56" applyNumberFormat="1" applyFont="1">
      <alignment/>
      <protection/>
    </xf>
    <xf numFmtId="168" fontId="4" fillId="34" borderId="18" xfId="50" applyFont="1" applyFill="1" applyBorder="1" applyAlignment="1">
      <alignment horizontal="center"/>
    </xf>
    <xf numFmtId="173" fontId="5" fillId="34" borderId="36" xfId="50" applyNumberFormat="1" applyFont="1" applyFill="1" applyBorder="1" applyAlignment="1">
      <alignment horizontal="center" vertical="center" wrapText="1"/>
    </xf>
    <xf numFmtId="173" fontId="5" fillId="34" borderId="19" xfId="50" applyNumberFormat="1" applyFont="1" applyFill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3" fontId="6" fillId="34" borderId="41" xfId="50" applyNumberFormat="1" applyFont="1" applyFill="1" applyBorder="1" applyAlignment="1">
      <alignment horizontal="center" vertical="center" wrapText="1"/>
    </xf>
    <xf numFmtId="173" fontId="6" fillId="34" borderId="36" xfId="50" applyNumberFormat="1" applyFont="1" applyFill="1" applyBorder="1" applyAlignment="1">
      <alignment horizontal="center" vertical="center" wrapText="1"/>
    </xf>
    <xf numFmtId="173" fontId="6" fillId="34" borderId="19" xfId="50" applyNumberFormat="1" applyFont="1" applyFill="1" applyBorder="1" applyAlignment="1">
      <alignment horizontal="center" vertical="center" wrapText="1"/>
    </xf>
    <xf numFmtId="4" fontId="6" fillId="36" borderId="37" xfId="0" applyNumberFormat="1" applyFont="1" applyFill="1" applyBorder="1" applyAlignment="1" applyProtection="1">
      <alignment horizontal="center"/>
      <protection locked="0"/>
    </xf>
    <xf numFmtId="4" fontId="6" fillId="36" borderId="38" xfId="0" applyNumberFormat="1" applyFont="1" applyFill="1" applyBorder="1" applyAlignment="1" applyProtection="1">
      <alignment horizontal="center"/>
      <protection locked="0"/>
    </xf>
    <xf numFmtId="4" fontId="6" fillId="36" borderId="39" xfId="0" applyNumberFormat="1" applyFont="1" applyFill="1" applyBorder="1" applyAlignment="1" applyProtection="1">
      <alignment horizontal="center"/>
      <protection locked="0"/>
    </xf>
    <xf numFmtId="0" fontId="12" fillId="36" borderId="15" xfId="0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49" fontId="6" fillId="36" borderId="40" xfId="0" applyNumberFormat="1" applyFont="1" applyFill="1" applyBorder="1" applyAlignment="1" applyProtection="1">
      <alignment horizontal="center"/>
      <protection locked="0"/>
    </xf>
    <xf numFmtId="49" fontId="6" fillId="36" borderId="14" xfId="0" applyNumberFormat="1" applyFont="1" applyFill="1" applyBorder="1" applyAlignment="1" applyProtection="1">
      <alignment horizontal="center"/>
      <protection locked="0"/>
    </xf>
    <xf numFmtId="49" fontId="6" fillId="36" borderId="17" xfId="0" applyNumberFormat="1" applyFont="1" applyFill="1" applyBorder="1" applyAlignment="1" applyProtection="1">
      <alignment horizontal="center"/>
      <protection locked="0"/>
    </xf>
    <xf numFmtId="49" fontId="5" fillId="10" borderId="23" xfId="0" applyNumberFormat="1" applyFont="1" applyFill="1" applyBorder="1" applyAlignment="1">
      <alignment horizontal="center" vertical="center"/>
    </xf>
    <xf numFmtId="49" fontId="5" fillId="10" borderId="24" xfId="0" applyNumberFormat="1" applyFont="1" applyFill="1" applyBorder="1" applyAlignment="1">
      <alignment horizontal="center" vertical="center"/>
    </xf>
    <xf numFmtId="49" fontId="5" fillId="10" borderId="31" xfId="0" applyNumberFormat="1" applyFont="1" applyFill="1" applyBorder="1" applyAlignment="1" applyProtection="1">
      <alignment horizontal="center"/>
      <protection locked="0"/>
    </xf>
    <xf numFmtId="49" fontId="5" fillId="10" borderId="22" xfId="0" applyNumberFormat="1" applyFont="1" applyFill="1" applyBorder="1" applyAlignment="1" applyProtection="1">
      <alignment horizontal="center"/>
      <protection locked="0"/>
    </xf>
    <xf numFmtId="49" fontId="5" fillId="10" borderId="35" xfId="0" applyNumberFormat="1" applyFont="1" applyFill="1" applyBorder="1" applyAlignment="1" applyProtection="1">
      <alignment horizontal="center"/>
      <protection locked="0"/>
    </xf>
    <xf numFmtId="4" fontId="6" fillId="10" borderId="37" xfId="0" applyNumberFormat="1" applyFont="1" applyFill="1" applyBorder="1" applyAlignment="1" applyProtection="1">
      <alignment horizontal="center"/>
      <protection locked="0"/>
    </xf>
    <xf numFmtId="4" fontId="6" fillId="10" borderId="38" xfId="0" applyNumberFormat="1" applyFont="1" applyFill="1" applyBorder="1" applyAlignment="1" applyProtection="1">
      <alignment horizontal="center"/>
      <protection locked="0"/>
    </xf>
    <xf numFmtId="4" fontId="6" fillId="10" borderId="39" xfId="0" applyNumberFormat="1" applyFont="1" applyFill="1" applyBorder="1" applyAlignment="1" applyProtection="1">
      <alignment horizontal="center"/>
      <protection locked="0"/>
    </xf>
    <xf numFmtId="0" fontId="12" fillId="10" borderId="15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16" xfId="0" applyFont="1" applyFill="1" applyBorder="1" applyAlignment="1">
      <alignment horizontal="center"/>
    </xf>
    <xf numFmtId="49" fontId="6" fillId="10" borderId="40" xfId="0" applyNumberFormat="1" applyFont="1" applyFill="1" applyBorder="1" applyAlignment="1" applyProtection="1">
      <alignment horizontal="center"/>
      <protection locked="0"/>
    </xf>
    <xf numFmtId="49" fontId="6" fillId="10" borderId="14" xfId="0" applyNumberFormat="1" applyFont="1" applyFill="1" applyBorder="1" applyAlignment="1" applyProtection="1">
      <alignment horizontal="center"/>
      <protection locked="0"/>
    </xf>
    <xf numFmtId="49" fontId="6" fillId="10" borderId="17" xfId="0" applyNumberFormat="1" applyFont="1" applyFill="1" applyBorder="1" applyAlignment="1" applyProtection="1">
      <alignment horizontal="center"/>
      <protection locked="0"/>
    </xf>
    <xf numFmtId="4" fontId="5" fillId="10" borderId="37" xfId="0" applyNumberFormat="1" applyFont="1" applyFill="1" applyBorder="1" applyAlignment="1" applyProtection="1">
      <alignment horizontal="center"/>
      <protection locked="0"/>
    </xf>
    <xf numFmtId="4" fontId="5" fillId="10" borderId="38" xfId="0" applyNumberFormat="1" applyFont="1" applyFill="1" applyBorder="1" applyAlignment="1" applyProtection="1">
      <alignment horizontal="center"/>
      <protection locked="0"/>
    </xf>
    <xf numFmtId="4" fontId="5" fillId="10" borderId="39" xfId="0" applyNumberFormat="1" applyFont="1" applyFill="1" applyBorder="1" applyAlignment="1" applyProtection="1">
      <alignment horizontal="center"/>
      <protection locked="0"/>
    </xf>
    <xf numFmtId="4" fontId="12" fillId="10" borderId="15" xfId="0" applyNumberFormat="1" applyFont="1" applyFill="1" applyBorder="1" applyAlignment="1" applyProtection="1">
      <alignment horizontal="center"/>
      <protection locked="0"/>
    </xf>
    <xf numFmtId="4" fontId="12" fillId="10" borderId="0" xfId="0" applyNumberFormat="1" applyFont="1" applyFill="1" applyBorder="1" applyAlignment="1" applyProtection="1">
      <alignment horizontal="center"/>
      <protection locked="0"/>
    </xf>
    <xf numFmtId="4" fontId="12" fillId="10" borderId="16" xfId="0" applyNumberFormat="1" applyFont="1" applyFill="1" applyBorder="1" applyAlignment="1" applyProtection="1">
      <alignment horizontal="center"/>
      <protection locked="0"/>
    </xf>
    <xf numFmtId="49" fontId="5" fillId="10" borderId="40" xfId="0" applyNumberFormat="1" applyFont="1" applyFill="1" applyBorder="1" applyAlignment="1" applyProtection="1">
      <alignment horizontal="center"/>
      <protection locked="0"/>
    </xf>
    <xf numFmtId="49" fontId="5" fillId="10" borderId="14" xfId="0" applyNumberFormat="1" applyFont="1" applyFill="1" applyBorder="1" applyAlignment="1" applyProtection="1">
      <alignment horizontal="center"/>
      <protection locked="0"/>
    </xf>
    <xf numFmtId="49" fontId="5" fillId="10" borderId="17" xfId="0" applyNumberFormat="1" applyFont="1" applyFill="1" applyBorder="1" applyAlignment="1" applyProtection="1">
      <alignment horizontal="center"/>
      <protection locked="0"/>
    </xf>
    <xf numFmtId="4" fontId="12" fillId="10" borderId="28" xfId="0" applyNumberFormat="1" applyFont="1" applyFill="1" applyBorder="1" applyAlignment="1" applyProtection="1">
      <alignment horizontal="center"/>
      <protection locked="0"/>
    </xf>
    <xf numFmtId="4" fontId="12" fillId="10" borderId="26" xfId="0" applyNumberFormat="1" applyFont="1" applyFill="1" applyBorder="1" applyAlignment="1" applyProtection="1">
      <alignment horizontal="center"/>
      <protection locked="0"/>
    </xf>
    <xf numFmtId="4" fontId="12" fillId="10" borderId="27" xfId="0" applyNumberFormat="1" applyFont="1" applyFill="1" applyBorder="1" applyAlignment="1" applyProtection="1">
      <alignment horizontal="center"/>
      <protection locked="0"/>
    </xf>
    <xf numFmtId="4" fontId="12" fillId="10" borderId="10" xfId="0" applyNumberFormat="1" applyFont="1" applyFill="1" applyBorder="1" applyAlignment="1" applyProtection="1">
      <alignment horizontal="center"/>
      <protection locked="0"/>
    </xf>
    <xf numFmtId="4" fontId="12" fillId="10" borderId="11" xfId="0" applyNumberFormat="1" applyFont="1" applyFill="1" applyBorder="1" applyAlignment="1" applyProtection="1">
      <alignment horizontal="center"/>
      <protection locked="0"/>
    </xf>
    <xf numFmtId="0" fontId="5" fillId="10" borderId="42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6" fillId="10" borderId="44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center"/>
    </xf>
    <xf numFmtId="0" fontId="6" fillId="10" borderId="45" xfId="0" applyFont="1" applyFill="1" applyBorder="1" applyAlignment="1">
      <alignment horizontal="center"/>
    </xf>
    <xf numFmtId="49" fontId="6" fillId="10" borderId="46" xfId="0" applyNumberFormat="1" applyFont="1" applyFill="1" applyBorder="1" applyAlignment="1">
      <alignment horizontal="center"/>
    </xf>
    <xf numFmtId="49" fontId="6" fillId="10" borderId="12" xfId="0" applyNumberFormat="1" applyFont="1" applyFill="1" applyBorder="1" applyAlignment="1">
      <alignment horizontal="center"/>
    </xf>
    <xf numFmtId="49" fontId="6" fillId="10" borderId="47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4" fontId="6" fillId="10" borderId="37" xfId="0" applyNumberFormat="1" applyFont="1" applyFill="1" applyBorder="1" applyAlignment="1">
      <alignment horizontal="center"/>
    </xf>
    <xf numFmtId="4" fontId="6" fillId="10" borderId="38" xfId="0" applyNumberFormat="1" applyFont="1" applyFill="1" applyBorder="1" applyAlignment="1">
      <alignment horizontal="center"/>
    </xf>
    <xf numFmtId="4" fontId="6" fillId="10" borderId="39" xfId="0" applyNumberFormat="1" applyFont="1" applyFill="1" applyBorder="1" applyAlignment="1">
      <alignment horizontal="center"/>
    </xf>
    <xf numFmtId="4" fontId="6" fillId="10" borderId="15" xfId="0" applyNumberFormat="1" applyFont="1" applyFill="1" applyBorder="1" applyAlignment="1">
      <alignment horizontal="center"/>
    </xf>
    <xf numFmtId="4" fontId="6" fillId="10" borderId="0" xfId="0" applyNumberFormat="1" applyFont="1" applyFill="1" applyBorder="1" applyAlignment="1">
      <alignment horizontal="center"/>
    </xf>
    <xf numFmtId="4" fontId="6" fillId="10" borderId="16" xfId="0" applyNumberFormat="1" applyFont="1" applyFill="1" applyBorder="1" applyAlignment="1">
      <alignment horizontal="center"/>
    </xf>
    <xf numFmtId="4" fontId="6" fillId="10" borderId="40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center"/>
    </xf>
    <xf numFmtId="4" fontId="6" fillId="10" borderId="17" xfId="0" applyNumberFormat="1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 wrapText="1"/>
    </xf>
    <xf numFmtId="0" fontId="5" fillId="4" borderId="38" xfId="0" applyFont="1" applyFill="1" applyBorder="1" applyAlignment="1">
      <alignment horizontal="center" wrapText="1"/>
    </xf>
    <xf numFmtId="0" fontId="5" fillId="4" borderId="39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_INFORME EDOS. FINANCIEROS 2004" xfId="51"/>
    <cellStyle name="Currency" xfId="52"/>
    <cellStyle name="Currency [0]" xfId="53"/>
    <cellStyle name="Neutral" xfId="54"/>
    <cellStyle name="Normal 2" xfId="55"/>
    <cellStyle name="Normal_CAPITULO1000PRESUP2008 APROB(1).PLENO 31-ENE-2008" xfId="56"/>
    <cellStyle name="Normal_INFORME EDOS. FINANCIEROS 200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riana.molina\Documents\ESTADOS%20FINANCIEROS%20IEEJ\ESTADOS%20FINANCIEROS%202014\EDOS.%20FINANC.%20DIC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ENDARIZ"/>
      <sheetName val="GASTO CORRIENTE "/>
      <sheetName val="RESULTADOS "/>
      <sheetName val="BALANCE "/>
      <sheetName val="ORIGEN Y APLIC. NUEVA MES"/>
      <sheetName val="ORIGEN Y APLIC. NUEVA ACUM"/>
      <sheetName val="calendario"/>
      <sheetName val="PRESUP 2014"/>
      <sheetName val="PLAN ESTADO DE RESULTADO "/>
    </sheetNames>
    <sheetDataSet>
      <sheetData sheetId="2">
        <row r="19">
          <cell r="BQ19">
            <v>22323109.610000003</v>
          </cell>
          <cell r="BR19">
            <v>110120035.61</v>
          </cell>
        </row>
        <row r="20">
          <cell r="BQ20">
            <v>554193.95</v>
          </cell>
          <cell r="BR20">
            <v>2009302.95</v>
          </cell>
        </row>
        <row r="21">
          <cell r="BQ21">
            <v>5581214.470000001</v>
          </cell>
          <cell r="BR21">
            <v>19381585.47</v>
          </cell>
        </row>
        <row r="28">
          <cell r="AY28">
            <v>18950841</v>
          </cell>
          <cell r="BR28">
            <v>227410092</v>
          </cell>
        </row>
        <row r="29">
          <cell r="AY29">
            <v>536494</v>
          </cell>
          <cell r="BR29">
            <v>6437921.79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38" sqref="I38"/>
    </sheetView>
  </sheetViews>
  <sheetFormatPr defaultColWidth="11.00390625" defaultRowHeight="15.75"/>
  <cols>
    <col min="2" max="2" width="15.375" style="0" bestFit="1" customWidth="1"/>
    <col min="3" max="3" width="26.125" style="0" customWidth="1"/>
    <col min="4" max="4" width="15.75390625" style="0" customWidth="1"/>
    <col min="5" max="5" width="15.875" style="0" customWidth="1"/>
    <col min="6" max="6" width="26.50390625" style="0" customWidth="1"/>
    <col min="7" max="7" width="22.50390625" style="0" customWidth="1"/>
    <col min="8" max="8" width="7.50390625" style="0" customWidth="1"/>
    <col min="9" max="9" width="14.50390625" style="0" customWidth="1"/>
  </cols>
  <sheetData>
    <row r="1" ht="15.75" thickBot="1"/>
    <row r="2" spans="2:7" s="94" customFormat="1" ht="18" customHeight="1">
      <c r="B2" s="325" t="s">
        <v>146</v>
      </c>
      <c r="C2" s="326"/>
      <c r="D2" s="326"/>
      <c r="E2" s="326"/>
      <c r="F2" s="326"/>
      <c r="G2" s="327"/>
    </row>
    <row r="3" spans="2:7" s="94" customFormat="1" ht="18" customHeight="1">
      <c r="B3" s="101"/>
      <c r="C3" s="102"/>
      <c r="D3" s="102"/>
      <c r="E3" s="102"/>
      <c r="F3" s="102"/>
      <c r="G3" s="103"/>
    </row>
    <row r="4" spans="2:7" s="94" customFormat="1" ht="21" customHeight="1" thickBot="1">
      <c r="B4" s="328" t="s">
        <v>346</v>
      </c>
      <c r="C4" s="329"/>
      <c r="D4" s="329"/>
      <c r="E4" s="329"/>
      <c r="F4" s="329"/>
      <c r="G4" s="330"/>
    </row>
    <row r="5" spans="2:7" s="94" customFormat="1" ht="14.25" customHeight="1" thickBot="1">
      <c r="B5" s="99"/>
      <c r="C5" s="100"/>
      <c r="D5" s="100"/>
      <c r="E5" s="100"/>
      <c r="F5" s="100"/>
      <c r="G5" s="100"/>
    </row>
    <row r="6" spans="2:7" s="94" customFormat="1" ht="19.5" customHeight="1" thickBot="1">
      <c r="B6" s="104"/>
      <c r="C6" s="323"/>
      <c r="D6" s="323"/>
      <c r="E6" s="323"/>
      <c r="F6" s="323"/>
      <c r="G6" s="324"/>
    </row>
    <row r="7" spans="2:7" s="94" customFormat="1" ht="36.75" customHeight="1" thickBot="1">
      <c r="B7" s="110" t="s">
        <v>161</v>
      </c>
      <c r="C7" s="111" t="s">
        <v>168</v>
      </c>
      <c r="D7" s="331" t="s">
        <v>150</v>
      </c>
      <c r="E7" s="332"/>
      <c r="F7" s="333"/>
      <c r="G7" s="112" t="s">
        <v>162</v>
      </c>
    </row>
    <row r="8" spans="2:7" s="118" customFormat="1" ht="6.75" customHeight="1">
      <c r="B8" s="250"/>
      <c r="C8" s="251"/>
      <c r="D8" s="251"/>
      <c r="E8" s="251"/>
      <c r="F8" s="251"/>
      <c r="G8" s="251"/>
    </row>
    <row r="9" spans="2:7" s="94" customFormat="1" ht="22.5" customHeight="1">
      <c r="B9" s="105"/>
      <c r="C9" s="113"/>
      <c r="D9" s="115" t="s">
        <v>349</v>
      </c>
      <c r="E9" s="115" t="s">
        <v>350</v>
      </c>
      <c r="F9" s="115" t="s">
        <v>4</v>
      </c>
      <c r="G9" s="113"/>
    </row>
    <row r="10" spans="2:7" s="114" customFormat="1" ht="26.25" customHeight="1">
      <c r="B10" s="117" t="s">
        <v>163</v>
      </c>
      <c r="C10" s="115" t="s">
        <v>347</v>
      </c>
      <c r="D10" s="115"/>
      <c r="E10" s="115"/>
      <c r="F10" s="115" t="s">
        <v>348</v>
      </c>
      <c r="G10" s="116"/>
    </row>
    <row r="11" spans="2:7" s="118" customFormat="1" ht="24" customHeight="1" hidden="1">
      <c r="B11" s="119" t="s">
        <v>169</v>
      </c>
      <c r="C11" s="120">
        <v>9330092</v>
      </c>
      <c r="D11" s="120"/>
      <c r="E11" s="120"/>
      <c r="F11" s="120">
        <v>15866590</v>
      </c>
      <c r="G11" s="120">
        <f>SUM(C11:F11)</f>
        <v>25196682</v>
      </c>
    </row>
    <row r="12" spans="2:7" s="94" customFormat="1" ht="18">
      <c r="B12" s="106" t="s">
        <v>10</v>
      </c>
      <c r="C12" s="121">
        <v>10062357</v>
      </c>
      <c r="D12" s="252">
        <f>17488801+1462040</f>
        <v>18950841</v>
      </c>
      <c r="E12" s="252">
        <f>495104+41390</f>
        <v>536494</v>
      </c>
      <c r="F12" s="121">
        <f>D12+E12</f>
        <v>19487335</v>
      </c>
      <c r="G12" s="121">
        <f>C12+F12</f>
        <v>29549692</v>
      </c>
    </row>
    <row r="13" spans="2:7" s="94" customFormat="1" ht="18">
      <c r="B13" s="122"/>
      <c r="C13" s="123"/>
      <c r="D13" s="253"/>
      <c r="E13" s="253"/>
      <c r="F13" s="123"/>
      <c r="G13" s="124"/>
    </row>
    <row r="14" spans="2:7" s="94" customFormat="1" ht="18">
      <c r="B14" s="106" t="s">
        <v>26</v>
      </c>
      <c r="C14" s="121">
        <v>10062357</v>
      </c>
      <c r="D14" s="252">
        <f>17488801+1462040</f>
        <v>18950841</v>
      </c>
      <c r="E14" s="252">
        <f>495104+41390</f>
        <v>536494</v>
      </c>
      <c r="F14" s="121">
        <f>D14+E14</f>
        <v>19487335</v>
      </c>
      <c r="G14" s="121">
        <f>C14+F14</f>
        <v>29549692</v>
      </c>
    </row>
    <row r="15" spans="2:7" s="94" customFormat="1" ht="18">
      <c r="B15" s="122"/>
      <c r="C15" s="121"/>
      <c r="D15" s="252"/>
      <c r="E15" s="252"/>
      <c r="F15" s="123"/>
      <c r="G15" s="124"/>
    </row>
    <row r="16" spans="2:7" s="94" customFormat="1" ht="18">
      <c r="B16" s="125" t="s">
        <v>27</v>
      </c>
      <c r="C16" s="121">
        <v>10062357</v>
      </c>
      <c r="D16" s="252">
        <v>18950841</v>
      </c>
      <c r="E16" s="252">
        <v>536494</v>
      </c>
      <c r="F16" s="121">
        <f>D16+E16</f>
        <v>19487335</v>
      </c>
      <c r="G16" s="121">
        <f>C16+F16</f>
        <v>29549692</v>
      </c>
    </row>
    <row r="17" spans="2:7" s="94" customFormat="1" ht="18">
      <c r="B17" s="106"/>
      <c r="C17" s="121"/>
      <c r="D17" s="252"/>
      <c r="E17" s="252"/>
      <c r="F17" s="121"/>
      <c r="G17" s="121"/>
    </row>
    <row r="18" spans="2:7" s="94" customFormat="1" ht="18">
      <c r="B18" s="106" t="s">
        <v>31</v>
      </c>
      <c r="C18" s="121">
        <v>10062357</v>
      </c>
      <c r="D18" s="252">
        <v>18950841</v>
      </c>
      <c r="E18" s="252">
        <v>536494</v>
      </c>
      <c r="F18" s="121">
        <f>D18+E18</f>
        <v>19487335</v>
      </c>
      <c r="G18" s="121">
        <f>C18+F18</f>
        <v>29549692</v>
      </c>
    </row>
    <row r="19" spans="2:7" s="94" customFormat="1" ht="15" customHeight="1">
      <c r="B19" s="106"/>
      <c r="C19" s="121"/>
      <c r="D19" s="252"/>
      <c r="E19" s="252"/>
      <c r="F19" s="121"/>
      <c r="G19" s="121"/>
    </row>
    <row r="20" spans="2:7" s="94" customFormat="1" ht="18">
      <c r="B20" s="106" t="s">
        <v>32</v>
      </c>
      <c r="C20" s="121">
        <v>10062357</v>
      </c>
      <c r="D20" s="252">
        <v>18950841</v>
      </c>
      <c r="E20" s="252">
        <v>536494</v>
      </c>
      <c r="F20" s="121">
        <f>D20+E20</f>
        <v>19487335</v>
      </c>
      <c r="G20" s="121">
        <f>C20+F20</f>
        <v>29549692</v>
      </c>
    </row>
    <row r="21" spans="2:7" s="94" customFormat="1" ht="15" customHeight="1">
      <c r="B21" s="106"/>
      <c r="C21" s="121"/>
      <c r="D21" s="252"/>
      <c r="E21" s="252"/>
      <c r="F21" s="121"/>
      <c r="G21" s="121"/>
    </row>
    <row r="22" spans="2:7" s="94" customFormat="1" ht="18">
      <c r="B22" s="106" t="s">
        <v>34</v>
      </c>
      <c r="C22" s="121">
        <v>10062357</v>
      </c>
      <c r="D22" s="252">
        <v>18950841</v>
      </c>
      <c r="E22" s="252">
        <v>536494</v>
      </c>
      <c r="F22" s="121">
        <f>D22+E22</f>
        <v>19487335</v>
      </c>
      <c r="G22" s="121">
        <f>C22+F22</f>
        <v>29549692</v>
      </c>
    </row>
    <row r="23" spans="2:7" s="94" customFormat="1" ht="18">
      <c r="B23" s="106"/>
      <c r="C23" s="121"/>
      <c r="D23" s="252"/>
      <c r="E23" s="252"/>
      <c r="F23" s="121"/>
      <c r="G23" s="121"/>
    </row>
    <row r="24" spans="2:7" s="94" customFormat="1" ht="18">
      <c r="B24" s="106" t="s">
        <v>35</v>
      </c>
      <c r="C24" s="121">
        <v>10062357</v>
      </c>
      <c r="D24" s="252">
        <v>18950841</v>
      </c>
      <c r="E24" s="252">
        <v>536494</v>
      </c>
      <c r="F24" s="121">
        <f>D24+E24</f>
        <v>19487335</v>
      </c>
      <c r="G24" s="121">
        <f>C24+F24</f>
        <v>29549692</v>
      </c>
    </row>
    <row r="25" spans="2:7" s="94" customFormat="1" ht="18">
      <c r="B25" s="106"/>
      <c r="C25" s="121"/>
      <c r="D25" s="252"/>
      <c r="E25" s="252"/>
      <c r="F25" s="121"/>
      <c r="G25" s="121"/>
    </row>
    <row r="26" spans="2:7" s="94" customFormat="1" ht="18">
      <c r="B26" s="106" t="s">
        <v>45</v>
      </c>
      <c r="C26" s="121">
        <v>10062357</v>
      </c>
      <c r="D26" s="252">
        <v>18950841</v>
      </c>
      <c r="E26" s="252">
        <v>536494</v>
      </c>
      <c r="F26" s="121">
        <f>D26+E26</f>
        <v>19487335</v>
      </c>
      <c r="G26" s="121">
        <f>C26+F26</f>
        <v>29549692</v>
      </c>
    </row>
    <row r="27" spans="2:7" s="94" customFormat="1" ht="16.5" customHeight="1">
      <c r="B27" s="106"/>
      <c r="C27" s="121"/>
      <c r="D27" s="252"/>
      <c r="E27" s="252"/>
      <c r="F27" s="121"/>
      <c r="G27" s="121"/>
    </row>
    <row r="28" spans="2:9" s="94" customFormat="1" ht="18">
      <c r="B28" s="106" t="s">
        <v>50</v>
      </c>
      <c r="C28" s="121">
        <v>10062356</v>
      </c>
      <c r="D28" s="252">
        <v>18950841</v>
      </c>
      <c r="E28" s="252">
        <v>536494</v>
      </c>
      <c r="F28" s="121">
        <f>D28+E28</f>
        <v>19487335</v>
      </c>
      <c r="G28" s="121">
        <f>C28+F28</f>
        <v>29549691</v>
      </c>
      <c r="I28" s="321">
        <f>SUM(G12:G28)</f>
        <v>265947227</v>
      </c>
    </row>
    <row r="29" spans="2:7" s="94" customFormat="1" ht="15" customHeight="1">
      <c r="B29" s="106"/>
      <c r="C29" s="121"/>
      <c r="D29" s="252"/>
      <c r="E29" s="252"/>
      <c r="F29" s="121"/>
      <c r="G29" s="121"/>
    </row>
    <row r="30" spans="2:9" s="94" customFormat="1" ht="23.25" customHeight="1">
      <c r="B30" s="126" t="s">
        <v>51</v>
      </c>
      <c r="C30" s="121">
        <v>10062356</v>
      </c>
      <c r="D30" s="252">
        <v>18950841</v>
      </c>
      <c r="E30" s="252">
        <v>536494</v>
      </c>
      <c r="F30" s="121">
        <f>D30+E30</f>
        <v>19487335</v>
      </c>
      <c r="G30" s="121">
        <f>C30+F30</f>
        <v>29549691</v>
      </c>
      <c r="I30" s="321">
        <f>SUM(G12:G30)</f>
        <v>295496918</v>
      </c>
    </row>
    <row r="31" spans="2:7" s="94" customFormat="1" ht="18">
      <c r="B31" s="106"/>
      <c r="C31" s="121"/>
      <c r="D31" s="252"/>
      <c r="E31" s="252"/>
      <c r="F31" s="121"/>
      <c r="G31" s="121"/>
    </row>
    <row r="32" spans="2:7" s="94" customFormat="1" ht="18">
      <c r="B32" s="106" t="s">
        <v>52</v>
      </c>
      <c r="C32" s="121">
        <v>10062356</v>
      </c>
      <c r="D32" s="252">
        <v>18950841</v>
      </c>
      <c r="E32" s="252">
        <v>536494</v>
      </c>
      <c r="F32" s="121">
        <f>D32+E32</f>
        <v>19487335</v>
      </c>
      <c r="G32" s="121">
        <f>C32+F32</f>
        <v>29549691</v>
      </c>
    </row>
    <row r="33" spans="2:7" s="94" customFormat="1" ht="18">
      <c r="B33" s="106"/>
      <c r="C33" s="121"/>
      <c r="D33" s="252"/>
      <c r="E33" s="252"/>
      <c r="F33" s="121"/>
      <c r="G33" s="121"/>
    </row>
    <row r="34" spans="2:9" s="94" customFormat="1" ht="18">
      <c r="B34" s="106" t="s">
        <v>11</v>
      </c>
      <c r="C34" s="121">
        <v>10062356</v>
      </c>
      <c r="D34" s="252">
        <v>18950841</v>
      </c>
      <c r="E34" s="252">
        <v>536494</v>
      </c>
      <c r="F34" s="121">
        <f>D34+E34</f>
        <v>19487335</v>
      </c>
      <c r="G34" s="121">
        <f>C34+F34</f>
        <v>29549691</v>
      </c>
      <c r="I34" s="321">
        <f>SUM(G32+G34)</f>
        <v>59099382</v>
      </c>
    </row>
    <row r="35" spans="2:7" s="94" customFormat="1" ht="18">
      <c r="B35" s="106"/>
      <c r="C35" s="121"/>
      <c r="D35" s="252"/>
      <c r="E35" s="252"/>
      <c r="F35" s="121"/>
      <c r="G35" s="121"/>
    </row>
    <row r="36" spans="2:9" s="94" customFormat="1" ht="19.5">
      <c r="B36" s="107" t="s">
        <v>4</v>
      </c>
      <c r="C36" s="127">
        <f>SUM(C12:C35)</f>
        <v>120748280</v>
      </c>
      <c r="D36" s="254">
        <f>SUM(D12:D35)</f>
        <v>227410092</v>
      </c>
      <c r="E36" s="254">
        <f>SUM(E12:E35)</f>
        <v>6437928</v>
      </c>
      <c r="F36" s="127">
        <f>SUM(F12:F35)</f>
        <v>233848020</v>
      </c>
      <c r="G36" s="128">
        <f>SUM(G12:G35)</f>
        <v>354596300</v>
      </c>
      <c r="I36" s="321">
        <f>SUM(I30:I35)</f>
        <v>354596300</v>
      </c>
    </row>
    <row r="37" spans="2:7" s="94" customFormat="1" ht="14.25">
      <c r="B37" s="108"/>
      <c r="C37" s="108"/>
      <c r="D37" s="108"/>
      <c r="E37" s="108"/>
      <c r="F37" s="108"/>
      <c r="G37" s="108"/>
    </row>
    <row r="38" spans="2:7" s="94" customFormat="1" ht="18">
      <c r="B38" s="100"/>
      <c r="C38" s="322" t="s">
        <v>171</v>
      </c>
      <c r="D38" s="322"/>
      <c r="E38" s="322"/>
      <c r="F38" s="322"/>
      <c r="G38" s="128">
        <v>1037000</v>
      </c>
    </row>
    <row r="39" spans="2:7" s="94" customFormat="1" ht="14.25">
      <c r="B39" s="100"/>
      <c r="C39" s="109"/>
      <c r="D39" s="109"/>
      <c r="E39" s="109"/>
      <c r="F39" s="109"/>
      <c r="G39" s="109"/>
    </row>
    <row r="40" spans="2:7" s="94" customFormat="1" ht="18">
      <c r="B40" s="100"/>
      <c r="C40" s="322" t="s">
        <v>323</v>
      </c>
      <c r="D40" s="322"/>
      <c r="E40" s="322"/>
      <c r="F40" s="322"/>
      <c r="G40" s="128">
        <f>G36+G38</f>
        <v>355633300</v>
      </c>
    </row>
    <row r="41" spans="2:7" s="94" customFormat="1" ht="14.25">
      <c r="B41" s="100"/>
      <c r="C41" s="100"/>
      <c r="D41" s="100"/>
      <c r="E41" s="100"/>
      <c r="F41" s="100"/>
      <c r="G41" s="100"/>
    </row>
    <row r="42" spans="2:7" s="94" customFormat="1" ht="14.25">
      <c r="B42" s="100"/>
      <c r="C42" s="100"/>
      <c r="D42" s="100"/>
      <c r="E42" s="100"/>
      <c r="F42" s="100"/>
      <c r="G42" s="100"/>
    </row>
  </sheetData>
  <sheetProtection/>
  <mergeCells count="6">
    <mergeCell ref="C38:F38"/>
    <mergeCell ref="C40:F40"/>
    <mergeCell ref="C6:G6"/>
    <mergeCell ref="B2:G2"/>
    <mergeCell ref="B4:G4"/>
    <mergeCell ref="D7:F7"/>
  </mergeCells>
  <printOptions/>
  <pageMargins left="0.45" right="0.15748031496062992" top="0.7480314960629921" bottom="0.7480314960629921" header="0.31496062992125984" footer="0.31496062992125984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AX124"/>
  <sheetViews>
    <sheetView tabSelected="1" zoomScale="61" zoomScaleNormal="61" zoomScalePageLayoutView="0" workbookViewId="0" topLeftCell="AA91">
      <selection activeCell="AE14" sqref="AE14"/>
    </sheetView>
  </sheetViews>
  <sheetFormatPr defaultColWidth="11.00390625" defaultRowHeight="15.75"/>
  <cols>
    <col min="1" max="1" width="5.50390625" style="14" customWidth="1"/>
    <col min="2" max="2" width="8.25390625" style="2" customWidth="1"/>
    <col min="3" max="3" width="9.50390625" style="2" customWidth="1"/>
    <col min="4" max="4" width="41.50390625" style="2" customWidth="1"/>
    <col min="5" max="5" width="14.625" style="2" customWidth="1"/>
    <col min="6" max="6" width="14.75390625" style="2" customWidth="1"/>
    <col min="7" max="7" width="14.875" style="2" customWidth="1"/>
    <col min="8" max="8" width="16.625" style="2" customWidth="1"/>
    <col min="9" max="9" width="16.375" style="2" customWidth="1"/>
    <col min="10" max="10" width="15.375" style="2" customWidth="1"/>
    <col min="11" max="11" width="15.125" style="2" customWidth="1"/>
    <col min="12" max="12" width="14.875" style="2" customWidth="1"/>
    <col min="13" max="14" width="14.75390625" style="2" customWidth="1"/>
    <col min="15" max="15" width="15.25390625" style="2" customWidth="1"/>
    <col min="16" max="16" width="17.875" style="2" customWidth="1"/>
    <col min="17" max="17" width="16.625" style="2" customWidth="1"/>
    <col min="18" max="18" width="18.00390625" style="2" customWidth="1"/>
    <col min="19" max="19" width="17.25390625" style="2" customWidth="1"/>
    <col min="20" max="20" width="10.50390625" style="93" customWidth="1"/>
    <col min="21" max="21" width="11.00390625" style="21" customWidth="1"/>
    <col min="22" max="22" width="13.375" style="2" customWidth="1"/>
    <col min="23" max="23" width="11.375" style="2" customWidth="1"/>
    <col min="24" max="24" width="51.50390625" style="2" customWidth="1"/>
    <col min="25" max="25" width="17.25390625" style="27" customWidth="1"/>
    <col min="26" max="26" width="16.50390625" style="2" customWidth="1"/>
    <col min="27" max="27" width="18.875" style="2" customWidth="1"/>
    <col min="28" max="28" width="18.75390625" style="2" customWidth="1"/>
    <col min="29" max="29" width="11.50390625" style="25" customWidth="1"/>
    <col min="30" max="30" width="11.00390625" style="17" customWidth="1"/>
    <col min="31" max="31" width="13.50390625" style="2" customWidth="1"/>
    <col min="32" max="32" width="10.625" style="2" customWidth="1"/>
    <col min="33" max="33" width="55.50390625" style="2" customWidth="1"/>
    <col min="34" max="34" width="19.00390625" style="2" customWidth="1"/>
    <col min="35" max="35" width="21.75390625" style="2" customWidth="1"/>
    <col min="36" max="36" width="21.00390625" style="2" customWidth="1"/>
    <col min="37" max="37" width="18.00390625" style="2" customWidth="1"/>
    <col min="38" max="38" width="19.25390625" style="20" customWidth="1"/>
    <col min="39" max="39" width="11.75390625" style="239" customWidth="1"/>
    <col min="40" max="40" width="11.75390625" style="17" bestFit="1" customWidth="1"/>
    <col min="41" max="41" width="14.50390625" style="17" bestFit="1" customWidth="1"/>
    <col min="42" max="42" width="10.50390625" style="2" hidden="1" customWidth="1"/>
    <col min="43" max="43" width="9.50390625" style="2" hidden="1" customWidth="1"/>
    <col min="44" max="44" width="53.50390625" style="2" hidden="1" customWidth="1"/>
    <col min="45" max="45" width="19.00390625" style="2" hidden="1" customWidth="1"/>
    <col min="46" max="46" width="21.75390625" style="2" hidden="1" customWidth="1"/>
    <col min="47" max="48" width="21.875" style="2" hidden="1" customWidth="1"/>
    <col min="49" max="49" width="19.75390625" style="20" hidden="1" customWidth="1"/>
    <col min="50" max="50" width="11.75390625" style="239" hidden="1" customWidth="1"/>
    <col min="51" max="16384" width="11.00390625" style="17" customWidth="1"/>
  </cols>
  <sheetData>
    <row r="1" ht="16.5" thickBot="1"/>
    <row r="2" spans="2:50" ht="21" customHeight="1" thickTop="1">
      <c r="B2" s="357" t="s">
        <v>145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9"/>
      <c r="V2" s="366" t="s">
        <v>145</v>
      </c>
      <c r="W2" s="367"/>
      <c r="X2" s="367"/>
      <c r="Y2" s="367"/>
      <c r="Z2" s="367"/>
      <c r="AA2" s="367"/>
      <c r="AB2" s="367"/>
      <c r="AC2" s="368"/>
      <c r="AE2" s="348" t="s">
        <v>145</v>
      </c>
      <c r="AF2" s="349"/>
      <c r="AG2" s="349"/>
      <c r="AH2" s="349"/>
      <c r="AI2" s="349"/>
      <c r="AJ2" s="349"/>
      <c r="AK2" s="350"/>
      <c r="AM2" s="233"/>
      <c r="AP2" s="334" t="s">
        <v>145</v>
      </c>
      <c r="AQ2" s="335"/>
      <c r="AR2" s="335"/>
      <c r="AS2" s="335"/>
      <c r="AT2" s="335"/>
      <c r="AU2" s="335"/>
      <c r="AV2" s="336"/>
      <c r="AX2" s="233"/>
    </row>
    <row r="3" spans="2:50" ht="18" customHeight="1">
      <c r="B3" s="360" t="s">
        <v>96</v>
      </c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  <c r="S3" s="362"/>
      <c r="V3" s="369" t="s">
        <v>148</v>
      </c>
      <c r="W3" s="361"/>
      <c r="X3" s="361"/>
      <c r="Y3" s="361"/>
      <c r="Z3" s="361"/>
      <c r="AA3" s="361"/>
      <c r="AB3" s="361"/>
      <c r="AC3" s="370"/>
      <c r="AE3" s="351" t="s">
        <v>91</v>
      </c>
      <c r="AF3" s="352"/>
      <c r="AG3" s="352"/>
      <c r="AH3" s="352"/>
      <c r="AI3" s="352"/>
      <c r="AJ3" s="352"/>
      <c r="AK3" s="353"/>
      <c r="AM3" s="233"/>
      <c r="AP3" s="337" t="s">
        <v>91</v>
      </c>
      <c r="AQ3" s="338"/>
      <c r="AR3" s="338"/>
      <c r="AS3" s="338"/>
      <c r="AT3" s="338"/>
      <c r="AU3" s="338"/>
      <c r="AV3" s="339"/>
      <c r="AX3" s="233"/>
    </row>
    <row r="4" spans="2:50" ht="21" customHeight="1" thickBot="1">
      <c r="B4" s="363" t="s">
        <v>419</v>
      </c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5"/>
      <c r="V4" s="345" t="s">
        <v>422</v>
      </c>
      <c r="W4" s="346"/>
      <c r="X4" s="346"/>
      <c r="Y4" s="346"/>
      <c r="Z4" s="346"/>
      <c r="AA4" s="346"/>
      <c r="AB4" s="346"/>
      <c r="AC4" s="347"/>
      <c r="AE4" s="354" t="s">
        <v>423</v>
      </c>
      <c r="AF4" s="355"/>
      <c r="AG4" s="355"/>
      <c r="AH4" s="355"/>
      <c r="AI4" s="355"/>
      <c r="AJ4" s="355"/>
      <c r="AK4" s="356"/>
      <c r="AL4" s="22" t="s">
        <v>97</v>
      </c>
      <c r="AM4" s="234"/>
      <c r="AP4" s="340" t="s">
        <v>413</v>
      </c>
      <c r="AQ4" s="341"/>
      <c r="AR4" s="341"/>
      <c r="AS4" s="341"/>
      <c r="AT4" s="341"/>
      <c r="AU4" s="341"/>
      <c r="AV4" s="342"/>
      <c r="AW4" s="22" t="s">
        <v>97</v>
      </c>
      <c r="AX4" s="234"/>
    </row>
    <row r="5" spans="2:50" ht="21" customHeight="1" thickBot="1"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167"/>
      <c r="V5" s="256"/>
      <c r="W5" s="257"/>
      <c r="X5" s="257"/>
      <c r="Y5" s="257"/>
      <c r="Z5" s="257"/>
      <c r="AA5" s="257"/>
      <c r="AB5" s="257"/>
      <c r="AC5" s="258"/>
      <c r="AE5" s="259"/>
      <c r="AF5" s="259"/>
      <c r="AG5" s="259"/>
      <c r="AH5" s="259"/>
      <c r="AI5" s="259"/>
      <c r="AJ5" s="259"/>
      <c r="AK5" s="259"/>
      <c r="AL5" s="260"/>
      <c r="AM5" s="261"/>
      <c r="AP5" s="315"/>
      <c r="AQ5" s="315"/>
      <c r="AR5" s="315"/>
      <c r="AS5" s="315"/>
      <c r="AT5" s="315"/>
      <c r="AU5" s="315"/>
      <c r="AV5" s="315"/>
      <c r="AW5" s="260"/>
      <c r="AX5" s="261"/>
    </row>
    <row r="6" spans="2:50" ht="60" customHeight="1" thickBot="1" thickTop="1">
      <c r="B6" s="160" t="s">
        <v>28</v>
      </c>
      <c r="C6" s="162"/>
      <c r="D6" s="312" t="s">
        <v>6</v>
      </c>
      <c r="E6" s="161" t="s">
        <v>10</v>
      </c>
      <c r="F6" s="161" t="s">
        <v>26</v>
      </c>
      <c r="G6" s="161" t="s">
        <v>27</v>
      </c>
      <c r="H6" s="161" t="s">
        <v>31</v>
      </c>
      <c r="I6" s="161" t="s">
        <v>32</v>
      </c>
      <c r="J6" s="161" t="s">
        <v>34</v>
      </c>
      <c r="K6" s="161" t="s">
        <v>35</v>
      </c>
      <c r="L6" s="161" t="s">
        <v>45</v>
      </c>
      <c r="M6" s="161" t="s">
        <v>50</v>
      </c>
      <c r="N6" s="161" t="s">
        <v>51</v>
      </c>
      <c r="O6" s="162" t="s">
        <v>52</v>
      </c>
      <c r="P6" s="162" t="s">
        <v>11</v>
      </c>
      <c r="Q6" s="161" t="s">
        <v>420</v>
      </c>
      <c r="R6" s="162" t="s">
        <v>421</v>
      </c>
      <c r="S6" s="162" t="s">
        <v>0</v>
      </c>
      <c r="T6" s="163" t="s">
        <v>129</v>
      </c>
      <c r="U6" s="24"/>
      <c r="V6" s="187" t="s">
        <v>28</v>
      </c>
      <c r="W6" s="161"/>
      <c r="X6" s="161" t="s">
        <v>6</v>
      </c>
      <c r="Y6" s="188" t="s">
        <v>55</v>
      </c>
      <c r="Z6" s="161" t="s">
        <v>147</v>
      </c>
      <c r="AA6" s="161" t="s">
        <v>95</v>
      </c>
      <c r="AB6" s="161" t="s">
        <v>54</v>
      </c>
      <c r="AC6" s="163" t="s">
        <v>129</v>
      </c>
      <c r="AE6" s="187" t="s">
        <v>28</v>
      </c>
      <c r="AF6" s="161"/>
      <c r="AG6" s="161" t="s">
        <v>6</v>
      </c>
      <c r="AH6" s="161" t="s">
        <v>424</v>
      </c>
      <c r="AI6" s="162" t="s">
        <v>324</v>
      </c>
      <c r="AJ6" s="162" t="s">
        <v>418</v>
      </c>
      <c r="AK6" s="162" t="s">
        <v>390</v>
      </c>
      <c r="AL6" s="161" t="s">
        <v>290</v>
      </c>
      <c r="AM6" s="235" t="s">
        <v>129</v>
      </c>
      <c r="AP6" s="316" t="s">
        <v>28</v>
      </c>
      <c r="AQ6" s="317"/>
      <c r="AR6" s="317" t="s">
        <v>6</v>
      </c>
      <c r="AS6" s="317" t="s">
        <v>388</v>
      </c>
      <c r="AT6" s="318" t="s">
        <v>324</v>
      </c>
      <c r="AU6" s="317" t="s">
        <v>389</v>
      </c>
      <c r="AV6" s="318" t="s">
        <v>390</v>
      </c>
      <c r="AW6" s="317" t="s">
        <v>290</v>
      </c>
      <c r="AX6" s="319" t="s">
        <v>129</v>
      </c>
    </row>
    <row r="7" spans="2:50" ht="16.5" customHeight="1" thickTop="1">
      <c r="B7" s="168"/>
      <c r="C7" s="182"/>
      <c r="D7" s="313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70"/>
      <c r="U7" s="26"/>
      <c r="V7" s="168"/>
      <c r="W7" s="182"/>
      <c r="X7" s="169"/>
      <c r="Y7" s="164"/>
      <c r="Z7" s="165"/>
      <c r="AA7" s="164"/>
      <c r="AB7" s="164"/>
      <c r="AC7" s="166"/>
      <c r="AE7" s="168"/>
      <c r="AF7" s="182"/>
      <c r="AG7" s="169"/>
      <c r="AH7" s="171"/>
      <c r="AI7" s="171"/>
      <c r="AJ7" s="172"/>
      <c r="AK7" s="171"/>
      <c r="AL7" s="171"/>
      <c r="AM7" s="236"/>
      <c r="AP7" s="168"/>
      <c r="AQ7" s="182"/>
      <c r="AR7" s="169"/>
      <c r="AS7" s="171"/>
      <c r="AT7" s="171"/>
      <c r="AU7" s="172"/>
      <c r="AV7" s="171"/>
      <c r="AW7" s="171"/>
      <c r="AX7" s="236"/>
    </row>
    <row r="8" spans="1:50" s="156" customFormat="1" ht="19.5" customHeight="1">
      <c r="A8" s="186"/>
      <c r="B8" s="173">
        <v>1131</v>
      </c>
      <c r="C8" s="184" t="s">
        <v>219</v>
      </c>
      <c r="D8" s="281" t="s">
        <v>172</v>
      </c>
      <c r="E8" s="175">
        <v>5693605.3</v>
      </c>
      <c r="F8" s="175">
        <v>5726469.4</v>
      </c>
      <c r="G8" s="175">
        <v>5753317.21</v>
      </c>
      <c r="H8" s="175">
        <v>5782482.1</v>
      </c>
      <c r="I8" s="175">
        <v>5781269.32</v>
      </c>
      <c r="J8" s="175">
        <v>5782482.3</v>
      </c>
      <c r="K8" s="175">
        <v>5782482.3</v>
      </c>
      <c r="L8" s="175">
        <f>5785805.64-27043</f>
        <v>5758762.64</v>
      </c>
      <c r="M8" s="175">
        <v>5663097.08</v>
      </c>
      <c r="N8" s="175">
        <v>5611266.81</v>
      </c>
      <c r="O8" s="175">
        <v>5650941.56</v>
      </c>
      <c r="P8" s="175">
        <v>6332396.84</v>
      </c>
      <c r="Q8" s="175">
        <v>69318572.86</v>
      </c>
      <c r="R8" s="175">
        <v>69977103.69599997</v>
      </c>
      <c r="S8" s="176">
        <v>658530.8359999657</v>
      </c>
      <c r="T8" s="177">
        <v>0.009410661505237585</v>
      </c>
      <c r="U8" s="155"/>
      <c r="V8" s="173">
        <v>1131</v>
      </c>
      <c r="W8" s="184" t="s">
        <v>219</v>
      </c>
      <c r="X8" s="281" t="s">
        <v>172</v>
      </c>
      <c r="Y8" s="190">
        <v>6332396.84</v>
      </c>
      <c r="Z8" s="307">
        <v>0.13207392260393067</v>
      </c>
      <c r="AA8" s="190">
        <v>5872873</v>
      </c>
      <c r="AB8" s="190">
        <v>-459523.83999999985</v>
      </c>
      <c r="AC8" s="177">
        <v>-0.07824515190435752</v>
      </c>
      <c r="AE8" s="173">
        <v>1131</v>
      </c>
      <c r="AF8" s="184" t="s">
        <v>219</v>
      </c>
      <c r="AG8" s="281" t="s">
        <v>172</v>
      </c>
      <c r="AH8" s="191">
        <v>69318572.86</v>
      </c>
      <c r="AI8" s="191">
        <v>70444862.30400003</v>
      </c>
      <c r="AJ8" s="194">
        <v>-467758.3040000349</v>
      </c>
      <c r="AK8" s="191">
        <v>69977104</v>
      </c>
      <c r="AL8" s="191">
        <v>658531.1400000006</v>
      </c>
      <c r="AM8" s="237">
        <v>0.17614212465935222</v>
      </c>
      <c r="AP8" s="173">
        <v>1131</v>
      </c>
      <c r="AQ8" s="184" t="s">
        <v>219</v>
      </c>
      <c r="AR8" s="174" t="s">
        <v>172</v>
      </c>
      <c r="AS8" s="191">
        <f>+AH8</f>
        <v>69318572.86</v>
      </c>
      <c r="AT8" s="191">
        <v>70444862.30400003</v>
      </c>
      <c r="AU8" s="194">
        <v>-467758.3040000349</v>
      </c>
      <c r="AV8" s="191">
        <f>SUM(AT8:AU8)</f>
        <v>69977104</v>
      </c>
      <c r="AW8" s="191">
        <f>AV8-AS8</f>
        <v>658531.1400000006</v>
      </c>
      <c r="AX8" s="237">
        <f>+AW8/$AL$29</f>
        <v>0.03792066699820798</v>
      </c>
    </row>
    <row r="9" spans="1:50" s="156" customFormat="1" ht="19.5" customHeight="1">
      <c r="A9" s="186"/>
      <c r="B9" s="152">
        <v>1221</v>
      </c>
      <c r="C9" s="155" t="s">
        <v>352</v>
      </c>
      <c r="D9" s="240" t="s">
        <v>291</v>
      </c>
      <c r="E9" s="185"/>
      <c r="F9" s="153"/>
      <c r="G9" s="153"/>
      <c r="H9" s="153"/>
      <c r="I9" s="153"/>
      <c r="J9" s="153"/>
      <c r="K9" s="153"/>
      <c r="L9" s="153"/>
      <c r="M9" s="153"/>
      <c r="N9" s="153"/>
      <c r="O9" s="153">
        <v>352114.05</v>
      </c>
      <c r="P9" s="153">
        <v>798254.28</v>
      </c>
      <c r="Q9" s="185">
        <v>1150368.33</v>
      </c>
      <c r="R9" s="185">
        <v>10136560.394000001</v>
      </c>
      <c r="S9" s="185">
        <v>8986192.064000001</v>
      </c>
      <c r="T9" s="154">
        <v>0.8865129506177537</v>
      </c>
      <c r="U9" s="155"/>
      <c r="V9" s="152">
        <v>1221</v>
      </c>
      <c r="W9" s="155" t="s">
        <v>352</v>
      </c>
      <c r="X9" s="240" t="s">
        <v>291</v>
      </c>
      <c r="Y9" s="189">
        <v>798254.28</v>
      </c>
      <c r="Z9" s="308">
        <v>0.016649078802044314</v>
      </c>
      <c r="AA9" s="189">
        <v>5316829</v>
      </c>
      <c r="AB9" s="189">
        <v>4518574.72</v>
      </c>
      <c r="AC9" s="154">
        <v>0.8498627132826727</v>
      </c>
      <c r="AE9" s="152">
        <v>1221</v>
      </c>
      <c r="AF9" s="155" t="s">
        <v>352</v>
      </c>
      <c r="AG9" s="240" t="s">
        <v>291</v>
      </c>
      <c r="AH9" s="192">
        <v>1150368.33</v>
      </c>
      <c r="AI9" s="192">
        <v>19915280.606</v>
      </c>
      <c r="AJ9" s="195">
        <v>-9778714.605999999</v>
      </c>
      <c r="AK9" s="192">
        <v>10136566</v>
      </c>
      <c r="AL9" s="192">
        <v>8986197.67</v>
      </c>
      <c r="AM9" s="238">
        <v>0.24652723644570299</v>
      </c>
      <c r="AP9" s="152">
        <v>1221</v>
      </c>
      <c r="AQ9" s="155" t="s">
        <v>352</v>
      </c>
      <c r="AR9" s="159" t="s">
        <v>291</v>
      </c>
      <c r="AS9" s="192">
        <f aca="true" t="shared" si="0" ref="AS9:AS28">+AH9</f>
        <v>1150368.33</v>
      </c>
      <c r="AT9" s="192">
        <v>19915280.606</v>
      </c>
      <c r="AU9" s="195">
        <v>-9778714.605999999</v>
      </c>
      <c r="AV9" s="192">
        <f aca="true" t="shared" si="1" ref="AV9:AV28">SUM(AT9:AU9)</f>
        <v>10136566</v>
      </c>
      <c r="AW9" s="192">
        <f aca="true" t="shared" si="2" ref="AW9:AW28">AV9-AS9</f>
        <v>8986197.67</v>
      </c>
      <c r="AX9" s="238">
        <f>+AW9/$AL$29</f>
        <v>0.5174586116370171</v>
      </c>
    </row>
    <row r="10" spans="1:50" s="156" customFormat="1" ht="19.5" customHeight="1">
      <c r="A10" s="186"/>
      <c r="B10" s="173">
        <v>1321</v>
      </c>
      <c r="C10" s="184" t="s">
        <v>221</v>
      </c>
      <c r="D10" s="281" t="s">
        <v>173</v>
      </c>
      <c r="E10" s="175"/>
      <c r="F10" s="175"/>
      <c r="G10" s="175"/>
      <c r="H10" s="175">
        <v>520984.65</v>
      </c>
      <c r="I10" s="175"/>
      <c r="J10" s="175"/>
      <c r="K10" s="175"/>
      <c r="L10" s="175">
        <v>2163.21</v>
      </c>
      <c r="M10" s="175">
        <v>13075.14</v>
      </c>
      <c r="N10" s="175">
        <v>6270.12</v>
      </c>
      <c r="O10" s="175">
        <v>1531.74</v>
      </c>
      <c r="P10" s="175">
        <v>574815.69</v>
      </c>
      <c r="Q10" s="176">
        <v>1118840.5499999998</v>
      </c>
      <c r="R10" s="176">
        <v>1240059.51405383</v>
      </c>
      <c r="S10" s="176">
        <v>121218.96405383013</v>
      </c>
      <c r="T10" s="177">
        <v>0.09775253742262577</v>
      </c>
      <c r="U10" s="155"/>
      <c r="V10" s="173">
        <v>1321</v>
      </c>
      <c r="W10" s="184" t="s">
        <v>221</v>
      </c>
      <c r="X10" s="281" t="s">
        <v>173</v>
      </c>
      <c r="Y10" s="190">
        <v>574815.69</v>
      </c>
      <c r="Z10" s="307">
        <v>0.011988851120800096</v>
      </c>
      <c r="AA10" s="190">
        <v>775501</v>
      </c>
      <c r="AB10" s="190">
        <v>200685.31000000006</v>
      </c>
      <c r="AC10" s="177"/>
      <c r="AE10" s="173">
        <v>1321</v>
      </c>
      <c r="AF10" s="184" t="s">
        <v>221</v>
      </c>
      <c r="AG10" s="281" t="s">
        <v>173</v>
      </c>
      <c r="AH10" s="191">
        <v>1118840.5499999998</v>
      </c>
      <c r="AI10" s="191">
        <v>1331620.48594617</v>
      </c>
      <c r="AJ10" s="194">
        <v>-91560.48594617005</v>
      </c>
      <c r="AK10" s="191">
        <v>1240060</v>
      </c>
      <c r="AL10" s="191">
        <v>121219.45000000019</v>
      </c>
      <c r="AM10" s="237">
        <v>0.017537172282122353</v>
      </c>
      <c r="AP10" s="173">
        <v>1321</v>
      </c>
      <c r="AQ10" s="184" t="s">
        <v>221</v>
      </c>
      <c r="AR10" s="174" t="s">
        <v>173</v>
      </c>
      <c r="AS10" s="191">
        <f t="shared" si="0"/>
        <v>1118840.5499999998</v>
      </c>
      <c r="AT10" s="191">
        <v>1331620.48594617</v>
      </c>
      <c r="AU10" s="194">
        <v>-91560.48594617005</v>
      </c>
      <c r="AV10" s="191">
        <f t="shared" si="1"/>
        <v>1240060</v>
      </c>
      <c r="AW10" s="191">
        <f t="shared" si="2"/>
        <v>121219.45000000019</v>
      </c>
      <c r="AX10" s="237">
        <f>+AW10/$AL$29</f>
        <v>0.006980265803612454</v>
      </c>
    </row>
    <row r="11" spans="1:50" s="156" customFormat="1" ht="19.5" customHeight="1">
      <c r="A11" s="186"/>
      <c r="B11" s="152">
        <v>1322</v>
      </c>
      <c r="C11" s="155" t="s">
        <v>222</v>
      </c>
      <c r="D11" s="240" t="s">
        <v>174</v>
      </c>
      <c r="E11" s="153"/>
      <c r="F11" s="153"/>
      <c r="G11" s="153"/>
      <c r="H11" s="153"/>
      <c r="I11" s="153"/>
      <c r="J11" s="153"/>
      <c r="K11" s="153"/>
      <c r="L11" s="153">
        <v>98262.1</v>
      </c>
      <c r="M11" s="153">
        <v>409485.88</v>
      </c>
      <c r="N11" s="153">
        <v>181280.44</v>
      </c>
      <c r="O11" s="153">
        <v>53682.95</v>
      </c>
      <c r="P11" s="153">
        <v>10220874.89</v>
      </c>
      <c r="Q11" s="185">
        <v>10963586.26</v>
      </c>
      <c r="R11" s="185">
        <v>12400600.140538301</v>
      </c>
      <c r="S11" s="185">
        <v>1437013.8805383015</v>
      </c>
      <c r="T11" s="154">
        <v>0.11588260763611088</v>
      </c>
      <c r="U11" s="155"/>
      <c r="V11" s="152">
        <v>1322</v>
      </c>
      <c r="W11" s="155" t="s">
        <v>222</v>
      </c>
      <c r="X11" s="240" t="s">
        <v>174</v>
      </c>
      <c r="Y11" s="189">
        <v>10220874.89</v>
      </c>
      <c r="Z11" s="308">
        <v>0.21317536997038838</v>
      </c>
      <c r="AA11" s="189">
        <v>13316205</v>
      </c>
      <c r="AB11" s="189">
        <v>3095330.1099999994</v>
      </c>
      <c r="AC11" s="154"/>
      <c r="AE11" s="152">
        <v>1322</v>
      </c>
      <c r="AF11" s="155" t="s">
        <v>222</v>
      </c>
      <c r="AG11" s="240" t="s">
        <v>174</v>
      </c>
      <c r="AH11" s="192">
        <v>10963586.26</v>
      </c>
      <c r="AI11" s="192">
        <v>13316204.859461699</v>
      </c>
      <c r="AJ11" s="195">
        <v>-915604.8594616987</v>
      </c>
      <c r="AK11" s="192">
        <v>12400600</v>
      </c>
      <c r="AL11" s="192">
        <v>1437013.7400000002</v>
      </c>
      <c r="AM11" s="238">
        <v>0.29372999953724366</v>
      </c>
      <c r="AP11" s="152">
        <v>1322</v>
      </c>
      <c r="AQ11" s="155" t="s">
        <v>222</v>
      </c>
      <c r="AR11" s="159" t="s">
        <v>174</v>
      </c>
      <c r="AS11" s="192">
        <f t="shared" si="0"/>
        <v>10963586.26</v>
      </c>
      <c r="AT11" s="192">
        <v>13316204.859461699</v>
      </c>
      <c r="AU11" s="195">
        <v>-915604.8594616987</v>
      </c>
      <c r="AV11" s="192">
        <f t="shared" si="1"/>
        <v>12400600</v>
      </c>
      <c r="AW11" s="192">
        <f t="shared" si="2"/>
        <v>1437013.7400000002</v>
      </c>
      <c r="AX11" s="238">
        <f>+AW11/$AL$29</f>
        <v>0.08274858423003259</v>
      </c>
    </row>
    <row r="12" spans="1:50" s="156" customFormat="1" ht="19.5" customHeight="1">
      <c r="A12" s="186"/>
      <c r="B12" s="173" t="s">
        <v>351</v>
      </c>
      <c r="C12" s="184" t="s">
        <v>353</v>
      </c>
      <c r="D12" s="281" t="s">
        <v>284</v>
      </c>
      <c r="E12" s="175"/>
      <c r="F12" s="175"/>
      <c r="G12" s="175"/>
      <c r="H12" s="175"/>
      <c r="I12" s="175"/>
      <c r="J12" s="175"/>
      <c r="K12" s="175"/>
      <c r="L12" s="175"/>
      <c r="M12" s="175"/>
      <c r="N12" s="175">
        <v>1599060.69</v>
      </c>
      <c r="O12" s="175">
        <v>2018561.08</v>
      </c>
      <c r="P12" s="175">
        <v>2031718.44</v>
      </c>
      <c r="Q12" s="176">
        <v>5649340.21</v>
      </c>
      <c r="R12" s="176">
        <v>6329407.0052736</v>
      </c>
      <c r="S12" s="176">
        <v>680066.7952736001</v>
      </c>
      <c r="T12" s="177">
        <v>0.10744557818875847</v>
      </c>
      <c r="U12" s="155"/>
      <c r="V12" s="173" t="s">
        <v>351</v>
      </c>
      <c r="W12" s="184" t="s">
        <v>353</v>
      </c>
      <c r="X12" s="281" t="s">
        <v>284</v>
      </c>
      <c r="Y12" s="190">
        <v>2031718.44</v>
      </c>
      <c r="Z12" s="307">
        <v>0.04237526970870302</v>
      </c>
      <c r="AA12" s="190">
        <v>2095497</v>
      </c>
      <c r="AB12" s="190">
        <v>63778.560000000056</v>
      </c>
      <c r="AC12" s="177"/>
      <c r="AE12" s="173" t="s">
        <v>351</v>
      </c>
      <c r="AF12" s="184" t="s">
        <v>353</v>
      </c>
      <c r="AG12" s="281" t="s">
        <v>284</v>
      </c>
      <c r="AH12" s="191">
        <v>5649340.21</v>
      </c>
      <c r="AI12" s="191">
        <v>3143245.9947264</v>
      </c>
      <c r="AJ12" s="194">
        <v>3186161.0052736</v>
      </c>
      <c r="AK12" s="191">
        <v>6329407</v>
      </c>
      <c r="AL12" s="191">
        <v>680066.79</v>
      </c>
      <c r="AM12" s="237">
        <v>0.06832563765476667</v>
      </c>
      <c r="AP12" s="173" t="s">
        <v>351</v>
      </c>
      <c r="AQ12" s="184" t="s">
        <v>353</v>
      </c>
      <c r="AR12" s="174" t="s">
        <v>395</v>
      </c>
      <c r="AS12" s="191">
        <f t="shared" si="0"/>
        <v>5649340.21</v>
      </c>
      <c r="AT12" s="191">
        <v>3143245.9947264</v>
      </c>
      <c r="AU12" s="194">
        <v>3186161.0052736</v>
      </c>
      <c r="AV12" s="191">
        <f t="shared" si="1"/>
        <v>6329407</v>
      </c>
      <c r="AW12" s="191">
        <f t="shared" si="2"/>
        <v>680066.79</v>
      </c>
      <c r="AX12" s="237">
        <f>+AW12/$AL$29</f>
        <v>0.03916076964884336</v>
      </c>
    </row>
    <row r="13" spans="1:50" s="156" customFormat="1" ht="19.5" customHeight="1">
      <c r="A13" s="186"/>
      <c r="B13" s="152" t="s">
        <v>391</v>
      </c>
      <c r="C13" s="155"/>
      <c r="D13" s="240" t="s">
        <v>392</v>
      </c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>
        <v>78736</v>
      </c>
      <c r="P13" s="153">
        <v>115890</v>
      </c>
      <c r="Q13" s="185">
        <v>194626</v>
      </c>
      <c r="R13" s="185">
        <v>442000</v>
      </c>
      <c r="S13" s="185">
        <v>247374</v>
      </c>
      <c r="T13" s="154">
        <v>0.5596696832579185</v>
      </c>
      <c r="U13" s="155"/>
      <c r="V13" s="152"/>
      <c r="W13" s="155"/>
      <c r="X13" s="240"/>
      <c r="Y13" s="189">
        <v>115890</v>
      </c>
      <c r="Z13" s="308"/>
      <c r="AA13" s="189">
        <v>0</v>
      </c>
      <c r="AB13" s="189">
        <v>-115890</v>
      </c>
      <c r="AC13" s="154"/>
      <c r="AE13" s="152" t="s">
        <v>391</v>
      </c>
      <c r="AF13" s="155"/>
      <c r="AG13" s="240" t="s">
        <v>392</v>
      </c>
      <c r="AH13" s="192">
        <v>194626</v>
      </c>
      <c r="AI13" s="192"/>
      <c r="AJ13" s="195">
        <v>442000</v>
      </c>
      <c r="AK13" s="192">
        <v>442000</v>
      </c>
      <c r="AL13" s="192">
        <v>247374</v>
      </c>
      <c r="AM13" s="238">
        <v>0.009152732363329951</v>
      </c>
      <c r="AP13" s="152" t="s">
        <v>391</v>
      </c>
      <c r="AQ13" s="155" t="s">
        <v>220</v>
      </c>
      <c r="AR13" s="159" t="s">
        <v>392</v>
      </c>
      <c r="AS13" s="192">
        <f t="shared" si="0"/>
        <v>194626</v>
      </c>
      <c r="AT13" s="192"/>
      <c r="AU13" s="195">
        <v>442000</v>
      </c>
      <c r="AV13" s="192">
        <f t="shared" si="1"/>
        <v>442000</v>
      </c>
      <c r="AW13" s="192">
        <f t="shared" si="2"/>
        <v>247374</v>
      </c>
      <c r="AX13" s="238"/>
    </row>
    <row r="14" spans="1:50" s="156" customFormat="1" ht="19.5" customHeight="1">
      <c r="A14" s="186"/>
      <c r="B14" s="173">
        <v>1411</v>
      </c>
      <c r="C14" s="184" t="s">
        <v>226</v>
      </c>
      <c r="D14" s="281" t="s">
        <v>175</v>
      </c>
      <c r="E14" s="175">
        <v>122726.58</v>
      </c>
      <c r="F14" s="175">
        <v>222082.96</v>
      </c>
      <c r="G14" s="175">
        <f>124396.05-111041.48</f>
        <v>13354.570000000007</v>
      </c>
      <c r="H14" s="175">
        <v>121171.06</v>
      </c>
      <c r="I14" s="175">
        <v>125211</v>
      </c>
      <c r="J14" s="175">
        <v>121171.06</v>
      </c>
      <c r="K14" s="175">
        <v>125185.74</v>
      </c>
      <c r="L14" s="175">
        <f>7892.26+116937.73</f>
        <v>124829.98999999999</v>
      </c>
      <c r="M14" s="175">
        <v>119310.37</v>
      </c>
      <c r="N14" s="175">
        <v>127599.16</v>
      </c>
      <c r="O14" s="175">
        <v>131053.22</v>
      </c>
      <c r="P14" s="175">
        <v>153118.04</v>
      </c>
      <c r="Q14" s="176">
        <v>1506813.75</v>
      </c>
      <c r="R14" s="176">
        <v>3597922.3005800005</v>
      </c>
      <c r="S14" s="176">
        <v>2091108.5505800005</v>
      </c>
      <c r="T14" s="177">
        <v>0.5811989186767332</v>
      </c>
      <c r="U14" s="155"/>
      <c r="V14" s="173">
        <v>1411</v>
      </c>
      <c r="W14" s="184" t="s">
        <v>226</v>
      </c>
      <c r="X14" s="281" t="s">
        <v>175</v>
      </c>
      <c r="Y14" s="190">
        <v>153118.04</v>
      </c>
      <c r="Z14" s="307">
        <v>0.0031935617231824594</v>
      </c>
      <c r="AA14" s="190">
        <v>1138205</v>
      </c>
      <c r="AB14" s="190">
        <v>985086.96</v>
      </c>
      <c r="AC14" s="177">
        <v>0.8654741105512627</v>
      </c>
      <c r="AE14" s="173">
        <v>1411</v>
      </c>
      <c r="AF14" s="184" t="s">
        <v>226</v>
      </c>
      <c r="AG14" s="281" t="s">
        <v>175</v>
      </c>
      <c r="AH14" s="191">
        <v>1506813.75</v>
      </c>
      <c r="AI14" s="191">
        <v>6359244.6994199995</v>
      </c>
      <c r="AJ14" s="194">
        <v>-2761322.6994199995</v>
      </c>
      <c r="AK14" s="191">
        <v>3597922</v>
      </c>
      <c r="AL14" s="191">
        <v>2091108.25</v>
      </c>
      <c r="AM14" s="237">
        <v>0.05654510932852942</v>
      </c>
      <c r="AP14" s="173">
        <v>1411</v>
      </c>
      <c r="AQ14" s="184" t="s">
        <v>226</v>
      </c>
      <c r="AR14" s="174" t="s">
        <v>175</v>
      </c>
      <c r="AS14" s="191">
        <f t="shared" si="0"/>
        <v>1506813.75</v>
      </c>
      <c r="AT14" s="191">
        <v>6359244.6994199995</v>
      </c>
      <c r="AU14" s="194">
        <v>-2761322.6994199995</v>
      </c>
      <c r="AV14" s="191">
        <f t="shared" si="1"/>
        <v>3597922</v>
      </c>
      <c r="AW14" s="191">
        <f t="shared" si="2"/>
        <v>2091108.25</v>
      </c>
      <c r="AX14" s="237">
        <f aca="true" t="shared" si="3" ref="AX14:AX27">+AW14/$AL$29</f>
        <v>0.12041377360750985</v>
      </c>
    </row>
    <row r="15" spans="1:50" s="156" customFormat="1" ht="19.5" customHeight="1">
      <c r="A15" s="186"/>
      <c r="B15" s="152">
        <v>1421</v>
      </c>
      <c r="C15" s="155" t="s">
        <v>225</v>
      </c>
      <c r="D15" s="240" t="s">
        <v>176</v>
      </c>
      <c r="E15" s="153">
        <v>170808.74</v>
      </c>
      <c r="F15" s="153">
        <v>170808.74</v>
      </c>
      <c r="G15" s="153">
        <v>170775.88</v>
      </c>
      <c r="H15" s="153">
        <v>170808.74</v>
      </c>
      <c r="I15" s="153">
        <v>171760.11</v>
      </c>
      <c r="J15" s="153">
        <v>171794.66</v>
      </c>
      <c r="K15" s="153">
        <v>171794.66</v>
      </c>
      <c r="L15" s="153">
        <v>171083.06</v>
      </c>
      <c r="M15" s="153">
        <v>169893.46</v>
      </c>
      <c r="N15" s="153">
        <v>168422.33</v>
      </c>
      <c r="O15" s="153">
        <v>169528.82</v>
      </c>
      <c r="P15" s="153">
        <v>170405.23</v>
      </c>
      <c r="Q15" s="153">
        <v>2047884.4300000002</v>
      </c>
      <c r="R15" s="153">
        <v>2099313.3108799993</v>
      </c>
      <c r="S15" s="185">
        <v>51428.88087999914</v>
      </c>
      <c r="T15" s="154">
        <v>0.024497953980218874</v>
      </c>
      <c r="U15" s="155"/>
      <c r="V15" s="152">
        <v>1421</v>
      </c>
      <c r="W15" s="155" t="s">
        <v>225</v>
      </c>
      <c r="X15" s="240" t="s">
        <v>176</v>
      </c>
      <c r="Y15" s="189">
        <v>170405.23</v>
      </c>
      <c r="Z15" s="308">
        <v>0.0035541182473215</v>
      </c>
      <c r="AA15" s="189">
        <v>176186</v>
      </c>
      <c r="AB15" s="189">
        <v>5780.7699999999895</v>
      </c>
      <c r="AC15" s="154">
        <v>0.03281060924250502</v>
      </c>
      <c r="AE15" s="152">
        <v>1421</v>
      </c>
      <c r="AF15" s="155" t="s">
        <v>225</v>
      </c>
      <c r="AG15" s="240" t="s">
        <v>176</v>
      </c>
      <c r="AH15" s="192">
        <v>2047884.4300000002</v>
      </c>
      <c r="AI15" s="192">
        <v>2113345.6891200007</v>
      </c>
      <c r="AJ15" s="195">
        <v>-14032.689120000694</v>
      </c>
      <c r="AK15" s="192">
        <v>2099313</v>
      </c>
      <c r="AL15" s="192">
        <v>51428.56999999983</v>
      </c>
      <c r="AM15" s="238">
        <v>0.005589283277562495</v>
      </c>
      <c r="AP15" s="152">
        <v>1421</v>
      </c>
      <c r="AQ15" s="155" t="s">
        <v>225</v>
      </c>
      <c r="AR15" s="159" t="s">
        <v>176</v>
      </c>
      <c r="AS15" s="192">
        <f t="shared" si="0"/>
        <v>2047884.4300000002</v>
      </c>
      <c r="AT15" s="192">
        <v>2113345.6891200007</v>
      </c>
      <c r="AU15" s="195">
        <v>-14032.689120000694</v>
      </c>
      <c r="AV15" s="192">
        <f t="shared" si="1"/>
        <v>2099313</v>
      </c>
      <c r="AW15" s="192">
        <f t="shared" si="2"/>
        <v>51428.56999999983</v>
      </c>
      <c r="AX15" s="238">
        <f t="shared" si="3"/>
        <v>0.0029614479235773434</v>
      </c>
    </row>
    <row r="16" spans="1:50" s="156" customFormat="1" ht="19.5" customHeight="1">
      <c r="A16" s="186"/>
      <c r="B16" s="173">
        <v>1431</v>
      </c>
      <c r="C16" s="184" t="s">
        <v>224</v>
      </c>
      <c r="D16" s="281" t="s">
        <v>177</v>
      </c>
      <c r="E16" s="175">
        <v>683232.72</v>
      </c>
      <c r="F16" s="175">
        <v>683232.72</v>
      </c>
      <c r="G16" s="175">
        <v>683101.26</v>
      </c>
      <c r="H16" s="175">
        <v>683232.72</v>
      </c>
      <c r="I16" s="175">
        <v>687038.19</v>
      </c>
      <c r="J16" s="175">
        <v>687176.4</v>
      </c>
      <c r="K16" s="175">
        <v>687176.4</v>
      </c>
      <c r="L16" s="175">
        <v>684330.03</v>
      </c>
      <c r="M16" s="175">
        <v>679571.83</v>
      </c>
      <c r="N16" s="175">
        <v>673687.14</v>
      </c>
      <c r="O16" s="175">
        <v>678113.01</v>
      </c>
      <c r="P16" s="175">
        <v>681618.63</v>
      </c>
      <c r="Q16" s="176">
        <v>8191511.05</v>
      </c>
      <c r="R16" s="176">
        <v>8397256.243519997</v>
      </c>
      <c r="S16" s="176">
        <v>205745.1935199974</v>
      </c>
      <c r="T16" s="177">
        <v>0.024501478525055975</v>
      </c>
      <c r="U16" s="155"/>
      <c r="V16" s="173">
        <v>1431</v>
      </c>
      <c r="W16" s="184" t="s">
        <v>224</v>
      </c>
      <c r="X16" s="281" t="s">
        <v>177</v>
      </c>
      <c r="Y16" s="190">
        <v>681618.63</v>
      </c>
      <c r="Z16" s="307">
        <v>0.014216425227073616</v>
      </c>
      <c r="AA16" s="190">
        <v>704745</v>
      </c>
      <c r="AB16" s="190">
        <v>23126.369999999995</v>
      </c>
      <c r="AC16" s="177">
        <v>0.03281523104101483</v>
      </c>
      <c r="AE16" s="173">
        <v>1431</v>
      </c>
      <c r="AF16" s="184" t="s">
        <v>224</v>
      </c>
      <c r="AG16" s="281" t="s">
        <v>177</v>
      </c>
      <c r="AH16" s="191">
        <v>8191511.05</v>
      </c>
      <c r="AI16" s="191">
        <v>8453382.756480003</v>
      </c>
      <c r="AJ16" s="194">
        <v>-56130.756480002776</v>
      </c>
      <c r="AK16" s="191">
        <v>8397252</v>
      </c>
      <c r="AL16" s="191">
        <v>205740.9500000002</v>
      </c>
      <c r="AM16" s="237">
        <v>0.022357747384207833</v>
      </c>
      <c r="AP16" s="173">
        <v>1431</v>
      </c>
      <c r="AQ16" s="184" t="s">
        <v>224</v>
      </c>
      <c r="AR16" s="174" t="s">
        <v>177</v>
      </c>
      <c r="AS16" s="191">
        <f t="shared" si="0"/>
        <v>8191511.05</v>
      </c>
      <c r="AT16" s="191">
        <v>8453382.756480003</v>
      </c>
      <c r="AU16" s="194">
        <v>-56130.756480002776</v>
      </c>
      <c r="AV16" s="191">
        <f t="shared" si="1"/>
        <v>8397252</v>
      </c>
      <c r="AW16" s="191">
        <f t="shared" si="2"/>
        <v>205740.9500000002</v>
      </c>
      <c r="AX16" s="237">
        <f t="shared" si="3"/>
        <v>0.011847327451887785</v>
      </c>
    </row>
    <row r="17" spans="1:50" s="156" customFormat="1" ht="19.5" customHeight="1">
      <c r="A17" s="186"/>
      <c r="B17" s="152">
        <v>1432</v>
      </c>
      <c r="C17" s="155" t="s">
        <v>227</v>
      </c>
      <c r="D17" s="240" t="s">
        <v>178</v>
      </c>
      <c r="E17" s="153">
        <v>91709.56</v>
      </c>
      <c r="F17" s="153">
        <v>91709.56</v>
      </c>
      <c r="G17" s="153">
        <v>91687.65</v>
      </c>
      <c r="H17" s="153">
        <v>91709.56</v>
      </c>
      <c r="I17" s="153">
        <v>92191.21</v>
      </c>
      <c r="J17" s="153">
        <v>92366.84</v>
      </c>
      <c r="K17" s="153">
        <v>92366.84</v>
      </c>
      <c r="L17" s="153">
        <v>92277.26</v>
      </c>
      <c r="M17" s="153">
        <v>91790.59</v>
      </c>
      <c r="N17" s="153">
        <v>91224.58</v>
      </c>
      <c r="O17" s="153">
        <v>91962.23</v>
      </c>
      <c r="P17" s="153">
        <v>92546.51</v>
      </c>
      <c r="Q17" s="153">
        <v>1103542.39</v>
      </c>
      <c r="R17" s="153">
        <v>1143434.752408</v>
      </c>
      <c r="S17" s="185">
        <v>39892.362408000045</v>
      </c>
      <c r="T17" s="154">
        <v>0.03488818432708058</v>
      </c>
      <c r="U17" s="155"/>
      <c r="V17" s="152">
        <v>1432</v>
      </c>
      <c r="W17" s="155" t="s">
        <v>227</v>
      </c>
      <c r="X17" s="240" t="s">
        <v>178</v>
      </c>
      <c r="Y17" s="189">
        <v>92546.51</v>
      </c>
      <c r="Z17" s="308">
        <v>0.0019302297230954803</v>
      </c>
      <c r="AA17" s="189">
        <v>96115</v>
      </c>
      <c r="AB17" s="189">
        <v>3568.4900000000052</v>
      </c>
      <c r="AC17" s="154">
        <v>0.037127295427352706</v>
      </c>
      <c r="AE17" s="152">
        <v>1432</v>
      </c>
      <c r="AF17" s="155" t="s">
        <v>227</v>
      </c>
      <c r="AG17" s="240" t="s">
        <v>178</v>
      </c>
      <c r="AH17" s="192">
        <v>1103542.39</v>
      </c>
      <c r="AI17" s="192">
        <v>1152790.247592</v>
      </c>
      <c r="AJ17" s="195">
        <v>-9355.247592000058</v>
      </c>
      <c r="AK17" s="192">
        <v>1143435</v>
      </c>
      <c r="AL17" s="192">
        <v>39892.6100000001</v>
      </c>
      <c r="AM17" s="238">
        <v>0.003336911501813943</v>
      </c>
      <c r="AP17" s="152">
        <v>1432</v>
      </c>
      <c r="AQ17" s="155" t="s">
        <v>227</v>
      </c>
      <c r="AR17" s="159" t="s">
        <v>396</v>
      </c>
      <c r="AS17" s="192">
        <f t="shared" si="0"/>
        <v>1103542.39</v>
      </c>
      <c r="AT17" s="192">
        <v>1152790.247592</v>
      </c>
      <c r="AU17" s="195">
        <v>-9355.247592000058</v>
      </c>
      <c r="AV17" s="192">
        <f t="shared" si="1"/>
        <v>1143435</v>
      </c>
      <c r="AW17" s="192">
        <f t="shared" si="2"/>
        <v>39892.6100000001</v>
      </c>
      <c r="AX17" s="238">
        <f t="shared" si="3"/>
        <v>0.0022971645342380986</v>
      </c>
    </row>
    <row r="18" spans="1:50" s="156" customFormat="1" ht="19.5" customHeight="1">
      <c r="A18" s="186"/>
      <c r="B18" s="173">
        <v>1441</v>
      </c>
      <c r="C18" s="184" t="s">
        <v>354</v>
      </c>
      <c r="D18" s="281" t="s">
        <v>285</v>
      </c>
      <c r="E18" s="175"/>
      <c r="F18" s="175">
        <v>3523.17</v>
      </c>
      <c r="G18" s="175">
        <v>524395.06</v>
      </c>
      <c r="H18" s="175"/>
      <c r="I18" s="175">
        <v>2087.86</v>
      </c>
      <c r="J18" s="175"/>
      <c r="K18" s="175">
        <v>25.26</v>
      </c>
      <c r="L18" s="175"/>
      <c r="M18" s="175">
        <v>1789.76</v>
      </c>
      <c r="N18" s="175">
        <v>47613.79</v>
      </c>
      <c r="O18" s="175">
        <v>-34895.72</v>
      </c>
      <c r="P18" s="175">
        <v>-4255.27</v>
      </c>
      <c r="Q18" s="176">
        <v>540283.9100000001</v>
      </c>
      <c r="R18" s="176">
        <v>604002</v>
      </c>
      <c r="S18" s="176">
        <v>63718.08999999985</v>
      </c>
      <c r="T18" s="177">
        <v>0.10549317717490977</v>
      </c>
      <c r="U18" s="155"/>
      <c r="V18" s="173">
        <v>1441</v>
      </c>
      <c r="W18" s="184" t="s">
        <v>354</v>
      </c>
      <c r="X18" s="281" t="s">
        <v>285</v>
      </c>
      <c r="Y18" s="190">
        <v>-4255.27</v>
      </c>
      <c r="Z18" s="307">
        <v>-8.875157619446163E-05</v>
      </c>
      <c r="AA18" s="190">
        <v>0</v>
      </c>
      <c r="AB18" s="190">
        <v>4255.27</v>
      </c>
      <c r="AC18" s="177"/>
      <c r="AE18" s="173">
        <v>1441</v>
      </c>
      <c r="AF18" s="184" t="s">
        <v>354</v>
      </c>
      <c r="AG18" s="281" t="s">
        <v>285</v>
      </c>
      <c r="AH18" s="191">
        <v>540283.9100000001</v>
      </c>
      <c r="AI18" s="191">
        <v>595000</v>
      </c>
      <c r="AJ18" s="194">
        <v>9000</v>
      </c>
      <c r="AK18" s="191">
        <v>604000</v>
      </c>
      <c r="AL18" s="191">
        <v>63716.08999999985</v>
      </c>
      <c r="AM18" s="237">
        <v>0.0014981637915238927</v>
      </c>
      <c r="AP18" s="173">
        <v>1441</v>
      </c>
      <c r="AQ18" s="184" t="s">
        <v>354</v>
      </c>
      <c r="AR18" s="174" t="s">
        <v>285</v>
      </c>
      <c r="AS18" s="191">
        <f t="shared" si="0"/>
        <v>540283.9100000001</v>
      </c>
      <c r="AT18" s="191">
        <v>595000</v>
      </c>
      <c r="AU18" s="194">
        <v>9000</v>
      </c>
      <c r="AV18" s="191">
        <f t="shared" si="1"/>
        <v>604000</v>
      </c>
      <c r="AW18" s="191">
        <f t="shared" si="2"/>
        <v>63716.08999999985</v>
      </c>
      <c r="AX18" s="237">
        <f t="shared" si="3"/>
        <v>0.0036690089269246122</v>
      </c>
    </row>
    <row r="19" spans="1:50" s="156" customFormat="1" ht="19.5" customHeight="1">
      <c r="A19" s="186"/>
      <c r="B19" s="152">
        <v>1442</v>
      </c>
      <c r="C19" s="155" t="s">
        <v>355</v>
      </c>
      <c r="D19" s="240" t="s">
        <v>286</v>
      </c>
      <c r="E19" s="153">
        <v>16857.82</v>
      </c>
      <c r="F19" s="153">
        <v>2037.31</v>
      </c>
      <c r="G19" s="153">
        <v>1523569.52</v>
      </c>
      <c r="H19" s="153">
        <v>7279</v>
      </c>
      <c r="I19" s="153"/>
      <c r="J19" s="153">
        <v>9121.99</v>
      </c>
      <c r="K19" s="153"/>
      <c r="L19" s="153"/>
      <c r="M19" s="153">
        <v>8917.59</v>
      </c>
      <c r="N19" s="153">
        <v>55723.57</v>
      </c>
      <c r="O19" s="153">
        <v>-73029.83</v>
      </c>
      <c r="P19" s="153">
        <v>11695.99</v>
      </c>
      <c r="Q19" s="153">
        <v>1562172.96</v>
      </c>
      <c r="R19" s="153">
        <v>1700002</v>
      </c>
      <c r="S19" s="185">
        <v>137829.04000000004</v>
      </c>
      <c r="T19" s="154">
        <v>0.0810758104990465</v>
      </c>
      <c r="U19" s="155"/>
      <c r="V19" s="152">
        <v>1442</v>
      </c>
      <c r="W19" s="155" t="s">
        <v>355</v>
      </c>
      <c r="X19" s="240" t="s">
        <v>286</v>
      </c>
      <c r="Y19" s="189">
        <v>11695.99</v>
      </c>
      <c r="Z19" s="308">
        <v>0.00024394164122480152</v>
      </c>
      <c r="AA19" s="189">
        <v>0</v>
      </c>
      <c r="AB19" s="189">
        <v>-11695.99</v>
      </c>
      <c r="AC19" s="154"/>
      <c r="AE19" s="152">
        <v>1442</v>
      </c>
      <c r="AF19" s="155" t="s">
        <v>355</v>
      </c>
      <c r="AG19" s="240" t="s">
        <v>286</v>
      </c>
      <c r="AH19" s="192">
        <v>1562172.96</v>
      </c>
      <c r="AI19" s="192">
        <v>1700000</v>
      </c>
      <c r="AJ19" s="195">
        <v>0</v>
      </c>
      <c r="AK19" s="192">
        <v>1700000</v>
      </c>
      <c r="AL19" s="192">
        <v>137827.04000000004</v>
      </c>
      <c r="AM19" s="238">
        <v>0.003767354529334466</v>
      </c>
      <c r="AP19" s="152">
        <v>1442</v>
      </c>
      <c r="AQ19" s="155" t="s">
        <v>355</v>
      </c>
      <c r="AR19" s="159" t="s">
        <v>286</v>
      </c>
      <c r="AS19" s="192">
        <f t="shared" si="0"/>
        <v>1562172.96</v>
      </c>
      <c r="AT19" s="192">
        <v>1700000</v>
      </c>
      <c r="AU19" s="195">
        <v>0</v>
      </c>
      <c r="AV19" s="192">
        <f t="shared" si="1"/>
        <v>1700000</v>
      </c>
      <c r="AW19" s="192">
        <f t="shared" si="2"/>
        <v>137827.04000000004</v>
      </c>
      <c r="AX19" s="238">
        <f t="shared" si="3"/>
        <v>0.007936592470310042</v>
      </c>
    </row>
    <row r="20" spans="1:50" s="156" customFormat="1" ht="25.5" customHeight="1">
      <c r="A20" s="186"/>
      <c r="B20" s="173">
        <v>1523</v>
      </c>
      <c r="C20" s="184" t="s">
        <v>223</v>
      </c>
      <c r="D20" s="281" t="s">
        <v>179</v>
      </c>
      <c r="E20" s="175"/>
      <c r="F20" s="175"/>
      <c r="G20" s="175"/>
      <c r="H20" s="175"/>
      <c r="I20" s="175"/>
      <c r="J20" s="175">
        <v>28153.67</v>
      </c>
      <c r="K20" s="175"/>
      <c r="L20" s="175">
        <v>27043</v>
      </c>
      <c r="M20" s="175">
        <v>1444669.46</v>
      </c>
      <c r="N20" s="175">
        <v>-1499866</v>
      </c>
      <c r="O20" s="175"/>
      <c r="P20" s="175"/>
      <c r="Q20" s="176">
        <v>0.1299999998882413</v>
      </c>
      <c r="R20" s="176">
        <v>0</v>
      </c>
      <c r="S20" s="176">
        <v>-0.1299999998882413</v>
      </c>
      <c r="T20" s="177"/>
      <c r="U20" s="155"/>
      <c r="V20" s="173">
        <v>1523</v>
      </c>
      <c r="W20" s="184" t="s">
        <v>223</v>
      </c>
      <c r="X20" s="281" t="s">
        <v>179</v>
      </c>
      <c r="Y20" s="190">
        <v>0</v>
      </c>
      <c r="Z20" s="307">
        <v>0</v>
      </c>
      <c r="AA20" s="190">
        <v>0</v>
      </c>
      <c r="AB20" s="190">
        <v>0</v>
      </c>
      <c r="AC20" s="177"/>
      <c r="AE20" s="173">
        <v>1523</v>
      </c>
      <c r="AF20" s="184" t="s">
        <v>223</v>
      </c>
      <c r="AG20" s="281" t="s">
        <v>179</v>
      </c>
      <c r="AH20" s="191">
        <v>0.1299999998882413</v>
      </c>
      <c r="AI20" s="191">
        <v>2500000</v>
      </c>
      <c r="AJ20" s="194">
        <v>-2500000</v>
      </c>
      <c r="AK20" s="191">
        <v>0</v>
      </c>
      <c r="AL20" s="191">
        <v>-0.1299999998882413</v>
      </c>
      <c r="AM20" s="237">
        <v>-3.275455883902606E-09</v>
      </c>
      <c r="AP20" s="173">
        <v>1523</v>
      </c>
      <c r="AQ20" s="184" t="s">
        <v>223</v>
      </c>
      <c r="AR20" s="174" t="s">
        <v>397</v>
      </c>
      <c r="AS20" s="191"/>
      <c r="AT20" s="191">
        <v>2500000</v>
      </c>
      <c r="AU20" s="194">
        <v>-2500000</v>
      </c>
      <c r="AV20" s="191">
        <f t="shared" si="1"/>
        <v>0</v>
      </c>
      <c r="AW20" s="191">
        <f t="shared" si="2"/>
        <v>0</v>
      </c>
      <c r="AX20" s="237">
        <f t="shared" si="3"/>
        <v>0</v>
      </c>
    </row>
    <row r="21" spans="1:50" s="156" customFormat="1" ht="19.5" customHeight="1">
      <c r="A21" s="186"/>
      <c r="B21" s="152">
        <v>1531</v>
      </c>
      <c r="C21" s="155" t="s">
        <v>356</v>
      </c>
      <c r="D21" s="240" t="s">
        <v>180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89">
        <v>0</v>
      </c>
      <c r="R21" s="189">
        <v>1000000</v>
      </c>
      <c r="S21" s="185">
        <v>1000000</v>
      </c>
      <c r="T21" s="154">
        <v>1</v>
      </c>
      <c r="U21" s="155"/>
      <c r="V21" s="152">
        <v>1531</v>
      </c>
      <c r="W21" s="155" t="s">
        <v>356</v>
      </c>
      <c r="X21" s="240" t="s">
        <v>180</v>
      </c>
      <c r="Y21" s="189">
        <v>0</v>
      </c>
      <c r="Z21" s="308">
        <v>0</v>
      </c>
      <c r="AA21" s="189">
        <v>0</v>
      </c>
      <c r="AB21" s="189">
        <v>0</v>
      </c>
      <c r="AC21" s="154"/>
      <c r="AE21" s="152">
        <v>1531</v>
      </c>
      <c r="AF21" s="155" t="s">
        <v>356</v>
      </c>
      <c r="AG21" s="240" t="s">
        <v>180</v>
      </c>
      <c r="AH21" s="192">
        <v>0</v>
      </c>
      <c r="AI21" s="192">
        <v>1000000</v>
      </c>
      <c r="AJ21" s="195">
        <v>0</v>
      </c>
      <c r="AK21" s="192">
        <v>1000000</v>
      </c>
      <c r="AL21" s="192">
        <v>1000000</v>
      </c>
      <c r="AM21" s="238">
        <v>0.025195814513218905</v>
      </c>
      <c r="AP21" s="152">
        <v>1531</v>
      </c>
      <c r="AQ21" s="155" t="s">
        <v>356</v>
      </c>
      <c r="AR21" s="159" t="s">
        <v>180</v>
      </c>
      <c r="AS21" s="192">
        <f t="shared" si="0"/>
        <v>0</v>
      </c>
      <c r="AT21" s="192">
        <v>1000000</v>
      </c>
      <c r="AU21" s="195">
        <v>0</v>
      </c>
      <c r="AV21" s="192">
        <f t="shared" si="1"/>
        <v>1000000</v>
      </c>
      <c r="AW21" s="192">
        <f t="shared" si="2"/>
        <v>1000000</v>
      </c>
      <c r="AX21" s="238">
        <f t="shared" si="3"/>
        <v>0.057583711224662736</v>
      </c>
    </row>
    <row r="22" spans="1:50" s="156" customFormat="1" ht="19.5" customHeight="1">
      <c r="A22" s="186"/>
      <c r="B22" s="173">
        <v>1542</v>
      </c>
      <c r="C22" s="184" t="s">
        <v>220</v>
      </c>
      <c r="D22" s="281" t="s">
        <v>181</v>
      </c>
      <c r="E22" s="175"/>
      <c r="F22" s="175">
        <v>1150</v>
      </c>
      <c r="G22" s="175">
        <v>1100</v>
      </c>
      <c r="H22" s="175"/>
      <c r="I22" s="175">
        <v>1400</v>
      </c>
      <c r="J22" s="175">
        <v>1200</v>
      </c>
      <c r="K22" s="175">
        <v>1225</v>
      </c>
      <c r="L22" s="175">
        <v>1000</v>
      </c>
      <c r="M22" s="175">
        <v>1000</v>
      </c>
      <c r="N22" s="175">
        <v>-8075</v>
      </c>
      <c r="O22" s="175"/>
      <c r="P22" s="175"/>
      <c r="Q22" s="176">
        <v>0</v>
      </c>
      <c r="R22" s="176">
        <v>0</v>
      </c>
      <c r="S22" s="176">
        <v>0</v>
      </c>
      <c r="T22" s="177"/>
      <c r="U22" s="155"/>
      <c r="V22" s="173">
        <v>1542</v>
      </c>
      <c r="W22" s="184" t="s">
        <v>220</v>
      </c>
      <c r="X22" s="281" t="s">
        <v>181</v>
      </c>
      <c r="Y22" s="190">
        <v>0</v>
      </c>
      <c r="Z22" s="307">
        <v>0</v>
      </c>
      <c r="AA22" s="190">
        <v>153330</v>
      </c>
      <c r="AB22" s="190">
        <v>153330</v>
      </c>
      <c r="AC22" s="177">
        <v>1</v>
      </c>
      <c r="AE22" s="173">
        <v>1542</v>
      </c>
      <c r="AF22" s="184" t="s">
        <v>220</v>
      </c>
      <c r="AG22" s="281" t="s">
        <v>181</v>
      </c>
      <c r="AH22" s="191">
        <v>0</v>
      </c>
      <c r="AI22" s="191">
        <v>801650</v>
      </c>
      <c r="AJ22" s="194">
        <v>-801650</v>
      </c>
      <c r="AK22" s="191">
        <v>0</v>
      </c>
      <c r="AL22" s="194">
        <v>0</v>
      </c>
      <c r="AM22" s="237">
        <v>0</v>
      </c>
      <c r="AP22" s="173">
        <v>1542</v>
      </c>
      <c r="AQ22" s="184" t="s">
        <v>220</v>
      </c>
      <c r="AR22" s="174" t="s">
        <v>181</v>
      </c>
      <c r="AS22" s="191">
        <f t="shared" si="0"/>
        <v>0</v>
      </c>
      <c r="AT22" s="191">
        <v>801650</v>
      </c>
      <c r="AU22" s="194">
        <v>-801650</v>
      </c>
      <c r="AV22" s="191">
        <f t="shared" si="1"/>
        <v>0</v>
      </c>
      <c r="AW22" s="191">
        <f t="shared" si="2"/>
        <v>0</v>
      </c>
      <c r="AX22" s="237">
        <f t="shared" si="3"/>
        <v>0</v>
      </c>
    </row>
    <row r="23" spans="1:50" s="156" customFormat="1" ht="19.5" customHeight="1">
      <c r="A23" s="186"/>
      <c r="B23" s="152">
        <v>1543</v>
      </c>
      <c r="C23" s="155" t="s">
        <v>228</v>
      </c>
      <c r="D23" s="240" t="s">
        <v>182</v>
      </c>
      <c r="E23" s="153">
        <v>45750</v>
      </c>
      <c r="F23" s="153">
        <v>48000</v>
      </c>
      <c r="G23" s="153">
        <v>46500</v>
      </c>
      <c r="H23" s="153">
        <v>52500</v>
      </c>
      <c r="I23" s="153">
        <v>46500</v>
      </c>
      <c r="J23" s="153">
        <v>44250</v>
      </c>
      <c r="K23" s="153">
        <v>42750</v>
      </c>
      <c r="L23" s="153">
        <v>40850</v>
      </c>
      <c r="M23" s="153">
        <v>39000</v>
      </c>
      <c r="N23" s="153">
        <v>-406100</v>
      </c>
      <c r="O23" s="153"/>
      <c r="P23" s="153"/>
      <c r="Q23" s="153">
        <v>0</v>
      </c>
      <c r="R23" s="153">
        <v>0</v>
      </c>
      <c r="S23" s="185">
        <v>0</v>
      </c>
      <c r="T23" s="154"/>
      <c r="U23" s="155"/>
      <c r="V23" s="152">
        <v>1543</v>
      </c>
      <c r="W23" s="155" t="s">
        <v>228</v>
      </c>
      <c r="X23" s="240" t="s">
        <v>182</v>
      </c>
      <c r="Y23" s="189">
        <v>0</v>
      </c>
      <c r="Z23" s="308">
        <v>0</v>
      </c>
      <c r="AA23" s="189">
        <v>54167</v>
      </c>
      <c r="AB23" s="189">
        <v>54167</v>
      </c>
      <c r="AC23" s="154">
        <v>1</v>
      </c>
      <c r="AE23" s="152">
        <v>1543</v>
      </c>
      <c r="AF23" s="155" t="s">
        <v>228</v>
      </c>
      <c r="AG23" s="240" t="s">
        <v>182</v>
      </c>
      <c r="AH23" s="192">
        <v>0</v>
      </c>
      <c r="AI23" s="192">
        <v>650000</v>
      </c>
      <c r="AJ23" s="195">
        <v>-650000</v>
      </c>
      <c r="AK23" s="192">
        <v>0</v>
      </c>
      <c r="AL23" s="195">
        <v>0</v>
      </c>
      <c r="AM23" s="238">
        <v>0</v>
      </c>
      <c r="AP23" s="152">
        <v>1543</v>
      </c>
      <c r="AQ23" s="155" t="s">
        <v>228</v>
      </c>
      <c r="AR23" s="159" t="s">
        <v>182</v>
      </c>
      <c r="AS23" s="192">
        <f t="shared" si="0"/>
        <v>0</v>
      </c>
      <c r="AT23" s="192">
        <v>650000</v>
      </c>
      <c r="AU23" s="195">
        <v>-650000</v>
      </c>
      <c r="AV23" s="192">
        <f t="shared" si="1"/>
        <v>0</v>
      </c>
      <c r="AW23" s="192">
        <f t="shared" si="2"/>
        <v>0</v>
      </c>
      <c r="AX23" s="238">
        <f t="shared" si="3"/>
        <v>0</v>
      </c>
    </row>
    <row r="24" spans="1:50" s="156" customFormat="1" ht="19.5" customHeight="1">
      <c r="A24" s="186"/>
      <c r="B24" s="173">
        <v>1611</v>
      </c>
      <c r="C24" s="184" t="s">
        <v>357</v>
      </c>
      <c r="D24" s="281" t="s">
        <v>183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6">
        <v>0</v>
      </c>
      <c r="R24" s="176">
        <v>1056524</v>
      </c>
      <c r="S24" s="176">
        <v>1056524</v>
      </c>
      <c r="T24" s="177">
        <v>1</v>
      </c>
      <c r="U24" s="155"/>
      <c r="V24" s="173">
        <v>1611</v>
      </c>
      <c r="W24" s="184" t="s">
        <v>357</v>
      </c>
      <c r="X24" s="281" t="s">
        <v>183</v>
      </c>
      <c r="Y24" s="190">
        <v>0</v>
      </c>
      <c r="Z24" s="307">
        <v>0</v>
      </c>
      <c r="AA24" s="190">
        <v>88044</v>
      </c>
      <c r="AB24" s="190">
        <v>88044</v>
      </c>
      <c r="AC24" s="177">
        <v>1</v>
      </c>
      <c r="AE24" s="173">
        <v>1611</v>
      </c>
      <c r="AF24" s="184" t="s">
        <v>357</v>
      </c>
      <c r="AG24" s="281" t="s">
        <v>183</v>
      </c>
      <c r="AH24" s="191">
        <v>0</v>
      </c>
      <c r="AI24" s="191">
        <v>1056523.9999999998</v>
      </c>
      <c r="AJ24" s="194">
        <v>0</v>
      </c>
      <c r="AK24" s="191">
        <v>1056523.9999999998</v>
      </c>
      <c r="AL24" s="191">
        <v>1056523.9999999998</v>
      </c>
      <c r="AM24" s="237">
        <v>0.026619982732764082</v>
      </c>
      <c r="AP24" s="173">
        <v>1611</v>
      </c>
      <c r="AQ24" s="184" t="s">
        <v>357</v>
      </c>
      <c r="AR24" s="174" t="s">
        <v>398</v>
      </c>
      <c r="AS24" s="191">
        <f t="shared" si="0"/>
        <v>0</v>
      </c>
      <c r="AT24" s="191">
        <v>1056523.9999999998</v>
      </c>
      <c r="AU24" s="194">
        <v>0</v>
      </c>
      <c r="AV24" s="191">
        <f t="shared" si="1"/>
        <v>1056523.9999999998</v>
      </c>
      <c r="AW24" s="191">
        <f t="shared" si="2"/>
        <v>1056523.9999999998</v>
      </c>
      <c r="AX24" s="237">
        <f t="shared" si="3"/>
        <v>0.060838572917925555</v>
      </c>
    </row>
    <row r="25" spans="1:50" s="156" customFormat="1" ht="19.5" customHeight="1">
      <c r="A25" s="186"/>
      <c r="B25" s="152">
        <v>1712</v>
      </c>
      <c r="C25" s="155" t="s">
        <v>229</v>
      </c>
      <c r="D25" s="240" t="s">
        <v>184</v>
      </c>
      <c r="E25" s="153">
        <v>145596</v>
      </c>
      <c r="F25" s="153">
        <v>145596</v>
      </c>
      <c r="G25" s="153">
        <v>145596</v>
      </c>
      <c r="H25" s="153">
        <v>145596</v>
      </c>
      <c r="I25" s="153">
        <v>146709.48</v>
      </c>
      <c r="J25" s="153">
        <v>146709.48</v>
      </c>
      <c r="K25" s="153">
        <v>146709.48</v>
      </c>
      <c r="L25" s="153">
        <v>146242.08</v>
      </c>
      <c r="M25" s="153">
        <v>135139.42</v>
      </c>
      <c r="N25" s="153">
        <v>145038.96</v>
      </c>
      <c r="O25" s="153">
        <v>146228.41</v>
      </c>
      <c r="P25" s="153">
        <v>982245.16</v>
      </c>
      <c r="Q25" s="153">
        <v>2577406.4699999997</v>
      </c>
      <c r="R25" s="153">
        <v>2654539.76</v>
      </c>
      <c r="S25" s="185">
        <v>77133.29000000004</v>
      </c>
      <c r="T25" s="154">
        <v>0.02905712363487072</v>
      </c>
      <c r="U25" s="155"/>
      <c r="V25" s="152">
        <v>1712</v>
      </c>
      <c r="W25" s="155" t="s">
        <v>229</v>
      </c>
      <c r="X25" s="240" t="s">
        <v>184</v>
      </c>
      <c r="Y25" s="189">
        <v>982245.16</v>
      </c>
      <c r="Z25" s="308">
        <v>0.020486551067119396</v>
      </c>
      <c r="AA25" s="189">
        <v>1001670</v>
      </c>
      <c r="AB25" s="189">
        <v>19424.839999999967</v>
      </c>
      <c r="AC25" s="154">
        <v>0.019392454600816605</v>
      </c>
      <c r="AE25" s="152">
        <v>1712</v>
      </c>
      <c r="AF25" s="155" t="s">
        <v>229</v>
      </c>
      <c r="AG25" s="240" t="s">
        <v>184</v>
      </c>
      <c r="AH25" s="192">
        <v>2577406.4699999997</v>
      </c>
      <c r="AI25" s="192">
        <v>2670150.24</v>
      </c>
      <c r="AJ25" s="195">
        <v>-15610.240000000224</v>
      </c>
      <c r="AK25" s="192">
        <v>2654540</v>
      </c>
      <c r="AL25" s="192">
        <v>77133.53000000026</v>
      </c>
      <c r="AM25" s="238">
        <v>0.026691908972496833</v>
      </c>
      <c r="AP25" s="152">
        <v>1712</v>
      </c>
      <c r="AQ25" s="155" t="s">
        <v>229</v>
      </c>
      <c r="AR25" s="159" t="s">
        <v>184</v>
      </c>
      <c r="AS25" s="192">
        <f t="shared" si="0"/>
        <v>2577406.4699999997</v>
      </c>
      <c r="AT25" s="192">
        <f>2670154.24-4</f>
        <v>2670150.24</v>
      </c>
      <c r="AU25" s="195">
        <v>-15610.240000000224</v>
      </c>
      <c r="AV25" s="192">
        <f t="shared" si="1"/>
        <v>2654540</v>
      </c>
      <c r="AW25" s="192">
        <f t="shared" si="2"/>
        <v>77133.53000000026</v>
      </c>
      <c r="AX25" s="238">
        <f t="shared" si="3"/>
        <v>0.004441634917258875</v>
      </c>
    </row>
    <row r="26" spans="1:50" s="156" customFormat="1" ht="19.5" customHeight="1">
      <c r="A26" s="186"/>
      <c r="B26" s="173" t="s">
        <v>321</v>
      </c>
      <c r="C26" s="184" t="s">
        <v>230</v>
      </c>
      <c r="D26" s="281" t="s">
        <v>185</v>
      </c>
      <c r="E26" s="175">
        <v>124960</v>
      </c>
      <c r="F26" s="175">
        <v>124960</v>
      </c>
      <c r="G26" s="175">
        <v>124960</v>
      </c>
      <c r="H26" s="175">
        <v>124960</v>
      </c>
      <c r="I26" s="175">
        <v>125743.88</v>
      </c>
      <c r="J26" s="175">
        <v>125744.08</v>
      </c>
      <c r="K26" s="175">
        <v>125744.08</v>
      </c>
      <c r="L26" s="175">
        <v>125408.15</v>
      </c>
      <c r="M26" s="175">
        <v>135492.86</v>
      </c>
      <c r="N26" s="175">
        <v>124294.59</v>
      </c>
      <c r="O26" s="175">
        <v>125123.86</v>
      </c>
      <c r="P26" s="175">
        <v>125785.18</v>
      </c>
      <c r="Q26" s="176">
        <v>1513176.68</v>
      </c>
      <c r="R26" s="176">
        <v>1537145.1599999995</v>
      </c>
      <c r="S26" s="176">
        <v>23968.479999999516</v>
      </c>
      <c r="T26" s="177">
        <v>0.01559285396312182</v>
      </c>
      <c r="U26" s="155"/>
      <c r="V26" s="173" t="s">
        <v>321</v>
      </c>
      <c r="W26" s="184" t="s">
        <v>230</v>
      </c>
      <c r="X26" s="281" t="s">
        <v>185</v>
      </c>
      <c r="Y26" s="190">
        <v>125785.18</v>
      </c>
      <c r="Z26" s="307">
        <v>0.0026234840531632704</v>
      </c>
      <c r="AA26" s="190">
        <v>128929</v>
      </c>
      <c r="AB26" s="190">
        <v>3143.820000000007</v>
      </c>
      <c r="AC26" s="177">
        <v>0.024384118390742244</v>
      </c>
      <c r="AE26" s="173" t="s">
        <v>321</v>
      </c>
      <c r="AF26" s="184" t="s">
        <v>230</v>
      </c>
      <c r="AG26" s="281" t="s">
        <v>185</v>
      </c>
      <c r="AH26" s="191">
        <v>1513176.68</v>
      </c>
      <c r="AI26" s="191">
        <v>1547151.8400000005</v>
      </c>
      <c r="AJ26" s="194">
        <v>-10004.84000000055</v>
      </c>
      <c r="AK26" s="191">
        <v>1537147</v>
      </c>
      <c r="AL26" s="191">
        <v>23970.320000000065</v>
      </c>
      <c r="AM26" s="237">
        <v>0.0037732118003343538</v>
      </c>
      <c r="AP26" s="173" t="s">
        <v>321</v>
      </c>
      <c r="AQ26" s="184" t="s">
        <v>230</v>
      </c>
      <c r="AR26" s="174" t="s">
        <v>185</v>
      </c>
      <c r="AS26" s="191">
        <f t="shared" si="0"/>
        <v>1513176.68</v>
      </c>
      <c r="AT26" s="191">
        <v>1547151.8400000005</v>
      </c>
      <c r="AU26" s="194">
        <v>-10004.84000000055</v>
      </c>
      <c r="AV26" s="191">
        <f t="shared" si="1"/>
        <v>1537147</v>
      </c>
      <c r="AW26" s="191">
        <f t="shared" si="2"/>
        <v>23970.320000000065</v>
      </c>
      <c r="AX26" s="237">
        <f t="shared" si="3"/>
        <v>0.0013802999848427614</v>
      </c>
    </row>
    <row r="27" spans="1:50" s="156" customFormat="1" ht="19.5" customHeight="1">
      <c r="A27" s="186"/>
      <c r="B27" s="152">
        <v>1715</v>
      </c>
      <c r="C27" s="155" t="s">
        <v>358</v>
      </c>
      <c r="D27" s="240" t="s">
        <v>186</v>
      </c>
      <c r="E27" s="153"/>
      <c r="F27" s="153"/>
      <c r="G27" s="153"/>
      <c r="H27" s="153"/>
      <c r="I27" s="153"/>
      <c r="J27" s="153"/>
      <c r="K27" s="153"/>
      <c r="L27" s="153"/>
      <c r="M27" s="153">
        <v>2184108.43</v>
      </c>
      <c r="N27" s="153">
        <v>-11149.48</v>
      </c>
      <c r="O27" s="153"/>
      <c r="P27" s="153"/>
      <c r="Q27" s="189">
        <v>2172958.95</v>
      </c>
      <c r="R27" s="189">
        <v>2520187.2989999996</v>
      </c>
      <c r="S27" s="185">
        <v>347228.34899999946</v>
      </c>
      <c r="T27" s="154">
        <v>0.13777878697261045</v>
      </c>
      <c r="U27" s="155"/>
      <c r="V27" s="152">
        <v>1715</v>
      </c>
      <c r="W27" s="155" t="s">
        <v>358</v>
      </c>
      <c r="X27" s="240" t="s">
        <v>186</v>
      </c>
      <c r="Y27" s="189">
        <v>0</v>
      </c>
      <c r="Z27" s="308">
        <v>0</v>
      </c>
      <c r="AA27" s="189">
        <v>0</v>
      </c>
      <c r="AB27" s="189">
        <v>0</v>
      </c>
      <c r="AC27" s="154"/>
      <c r="AE27" s="152">
        <v>1715</v>
      </c>
      <c r="AF27" s="155" t="s">
        <v>358</v>
      </c>
      <c r="AG27" s="240" t="s">
        <v>186</v>
      </c>
      <c r="AH27" s="192">
        <v>2172958.95</v>
      </c>
      <c r="AI27" s="192">
        <v>2827819.7010000004</v>
      </c>
      <c r="AJ27" s="195">
        <v>-307632.70100000035</v>
      </c>
      <c r="AK27" s="192">
        <v>2520187</v>
      </c>
      <c r="AL27" s="192">
        <v>347228.0499999998</v>
      </c>
      <c r="AM27" s="238">
        <v>0.008748693541586694</v>
      </c>
      <c r="AP27" s="152">
        <v>1715</v>
      </c>
      <c r="AQ27" s="155" t="s">
        <v>358</v>
      </c>
      <c r="AR27" s="159" t="s">
        <v>186</v>
      </c>
      <c r="AS27" s="192">
        <f t="shared" si="0"/>
        <v>2172958.95</v>
      </c>
      <c r="AT27" s="192">
        <v>2827819.7010000004</v>
      </c>
      <c r="AU27" s="195">
        <v>-307632.70100000035</v>
      </c>
      <c r="AV27" s="192">
        <f t="shared" si="1"/>
        <v>2520187</v>
      </c>
      <c r="AW27" s="192">
        <f t="shared" si="2"/>
        <v>347228.0499999998</v>
      </c>
      <c r="AX27" s="238">
        <f t="shared" si="3"/>
        <v>0.019994679760302742</v>
      </c>
    </row>
    <row r="28" spans="1:50" s="156" customFormat="1" ht="19.5" customHeight="1">
      <c r="A28" s="186"/>
      <c r="B28" s="173" t="s">
        <v>393</v>
      </c>
      <c r="C28" s="184" t="s">
        <v>228</v>
      </c>
      <c r="D28" s="281" t="s">
        <v>427</v>
      </c>
      <c r="E28" s="175"/>
      <c r="F28" s="175"/>
      <c r="G28" s="175"/>
      <c r="H28" s="175"/>
      <c r="I28" s="175"/>
      <c r="J28" s="175"/>
      <c r="K28" s="175"/>
      <c r="L28" s="175"/>
      <c r="M28" s="175"/>
      <c r="N28" s="175">
        <v>439850</v>
      </c>
      <c r="O28" s="175">
        <v>33100</v>
      </c>
      <c r="P28" s="175">
        <v>36000</v>
      </c>
      <c r="Q28" s="176">
        <v>508950</v>
      </c>
      <c r="R28" s="176">
        <v>650000</v>
      </c>
      <c r="S28" s="176">
        <v>141050</v>
      </c>
      <c r="T28" s="177">
        <v>0.217</v>
      </c>
      <c r="U28" s="155"/>
      <c r="V28" s="173" t="s">
        <v>393</v>
      </c>
      <c r="W28" s="184" t="s">
        <v>228</v>
      </c>
      <c r="X28" s="281" t="s">
        <v>427</v>
      </c>
      <c r="Y28" s="190">
        <v>36000</v>
      </c>
      <c r="Z28" s="307"/>
      <c r="AA28" s="190">
        <v>0</v>
      </c>
      <c r="AB28" s="190">
        <v>-36000</v>
      </c>
      <c r="AC28" s="177"/>
      <c r="AE28" s="173" t="s">
        <v>393</v>
      </c>
      <c r="AF28" s="184" t="s">
        <v>228</v>
      </c>
      <c r="AG28" s="281" t="s">
        <v>427</v>
      </c>
      <c r="AH28" s="191">
        <v>508950</v>
      </c>
      <c r="AI28" s="191"/>
      <c r="AJ28" s="194">
        <v>650000</v>
      </c>
      <c r="AK28" s="191">
        <v>650000</v>
      </c>
      <c r="AL28" s="191">
        <v>141050</v>
      </c>
      <c r="AM28" s="237">
        <v>0.004460918959565407</v>
      </c>
      <c r="AP28" s="173" t="s">
        <v>393</v>
      </c>
      <c r="AQ28" s="184" t="s">
        <v>228</v>
      </c>
      <c r="AR28" s="174" t="s">
        <v>394</v>
      </c>
      <c r="AS28" s="191">
        <f t="shared" si="0"/>
        <v>508950</v>
      </c>
      <c r="AT28" s="191"/>
      <c r="AU28" s="194">
        <v>650000</v>
      </c>
      <c r="AV28" s="191">
        <f t="shared" si="1"/>
        <v>650000</v>
      </c>
      <c r="AW28" s="191">
        <f t="shared" si="2"/>
        <v>141050</v>
      </c>
      <c r="AX28" s="237"/>
    </row>
    <row r="29" spans="1:50" s="156" customFormat="1" ht="18" thickBot="1">
      <c r="A29" s="186"/>
      <c r="B29" s="178">
        <v>1000</v>
      </c>
      <c r="C29" s="183"/>
      <c r="D29" s="179" t="s">
        <v>1</v>
      </c>
      <c r="E29" s="180">
        <f>SUM(E7:E26)</f>
        <v>7095246.72</v>
      </c>
      <c r="F29" s="180">
        <f>SUM(F7:F26)</f>
        <v>7219569.859999999</v>
      </c>
      <c r="G29" s="180">
        <f>SUM(G7:G27)</f>
        <v>9078357.15</v>
      </c>
      <c r="H29" s="180">
        <f>SUM(H7:H27)</f>
        <v>7700723.829999999</v>
      </c>
      <c r="I29" s="180">
        <f>SUM(I7:I27)</f>
        <v>7179911.050000002</v>
      </c>
      <c r="J29" s="180">
        <f>SUM(J7:J26)</f>
        <v>7210170.48</v>
      </c>
      <c r="K29" s="180">
        <f>SUM(K7:K26)</f>
        <v>7175459.760000001</v>
      </c>
      <c r="L29" s="180">
        <f>SUM(L7:L27)</f>
        <v>7272251.52</v>
      </c>
      <c r="M29" s="180">
        <f>SUM(M7:M27)</f>
        <v>11096341.87</v>
      </c>
      <c r="N29" s="180">
        <v>7346141.699999998</v>
      </c>
      <c r="O29" s="180">
        <v>9422751.379999999</v>
      </c>
      <c r="P29" s="180">
        <v>22323109.610000003</v>
      </c>
      <c r="Q29" s="180">
        <v>110120034.92999999</v>
      </c>
      <c r="R29" s="180">
        <v>127486057.5762537</v>
      </c>
      <c r="S29" s="180">
        <v>17366022.646253698</v>
      </c>
      <c r="T29" s="181">
        <v>0.13621899505258836</v>
      </c>
      <c r="U29" s="241"/>
      <c r="V29" s="178">
        <v>1000</v>
      </c>
      <c r="W29" s="183"/>
      <c r="X29" s="179" t="s">
        <v>1</v>
      </c>
      <c r="Y29" s="242">
        <v>22323109.610000003</v>
      </c>
      <c r="Z29" s="282">
        <v>0.4655900009750812</v>
      </c>
      <c r="AA29" s="242">
        <v>30918296</v>
      </c>
      <c r="AB29" s="242">
        <v>8595186.389999999</v>
      </c>
      <c r="AC29" s="283">
        <v>0.27799676896812164</v>
      </c>
      <c r="AE29" s="178">
        <v>1000</v>
      </c>
      <c r="AF29" s="183"/>
      <c r="AG29" s="179" t="s">
        <v>1</v>
      </c>
      <c r="AH29" s="284">
        <v>110120034.92999999</v>
      </c>
      <c r="AI29" s="284">
        <v>141578273.42374632</v>
      </c>
      <c r="AJ29" s="243">
        <v>-14092216.423746306</v>
      </c>
      <c r="AK29" s="284">
        <v>127486057</v>
      </c>
      <c r="AL29" s="284">
        <v>17366022.070000004</v>
      </c>
      <c r="AM29" s="244">
        <v>1.0000000000000002</v>
      </c>
      <c r="AP29" s="178">
        <v>1000</v>
      </c>
      <c r="AQ29" s="183"/>
      <c r="AR29" s="179" t="s">
        <v>1</v>
      </c>
      <c r="AS29" s="284">
        <f>SUM(AS8:AS28)</f>
        <v>110120034.8</v>
      </c>
      <c r="AT29" s="284">
        <f>SUM(AT7:AT28)</f>
        <v>141578273.42374632</v>
      </c>
      <c r="AU29" s="243">
        <f>SUM(AU7:AU28)</f>
        <v>-14092216.423746306</v>
      </c>
      <c r="AV29" s="284">
        <f>SUM(AV7:AV28)</f>
        <v>127486057</v>
      </c>
      <c r="AW29" s="284">
        <f>SUM(AW7:AW28)</f>
        <v>17366022.200000003</v>
      </c>
      <c r="AX29" s="244">
        <f>SUM(AX8:AX28)</f>
        <v>0.9776331120371541</v>
      </c>
    </row>
    <row r="30" spans="1:50" s="156" customFormat="1" ht="14.25" customHeight="1" thickTop="1">
      <c r="A30" s="186"/>
      <c r="B30" s="245"/>
      <c r="C30" s="241"/>
      <c r="D30" s="246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8"/>
      <c r="U30" s="241"/>
      <c r="V30" s="245"/>
      <c r="W30" s="241"/>
      <c r="X30" s="246"/>
      <c r="Y30" s="247"/>
      <c r="Z30" s="285"/>
      <c r="AA30" s="247"/>
      <c r="AB30" s="247"/>
      <c r="AC30" s="286"/>
      <c r="AE30" s="245"/>
      <c r="AF30" s="241"/>
      <c r="AG30" s="246"/>
      <c r="AH30" s="247"/>
      <c r="AI30" s="247"/>
      <c r="AJ30" s="247"/>
      <c r="AK30" s="247"/>
      <c r="AL30" s="247"/>
      <c r="AM30" s="249"/>
      <c r="AP30" s="245"/>
      <c r="AQ30" s="241"/>
      <c r="AR30" s="246"/>
      <c r="AS30" s="247"/>
      <c r="AT30" s="247"/>
      <c r="AU30" s="247"/>
      <c r="AV30" s="247"/>
      <c r="AW30" s="320"/>
      <c r="AX30" s="249"/>
    </row>
    <row r="31" spans="1:50" s="156" customFormat="1" ht="16.5" customHeight="1">
      <c r="A31" s="186"/>
      <c r="B31" s="173">
        <v>2111</v>
      </c>
      <c r="C31" s="184" t="s">
        <v>231</v>
      </c>
      <c r="D31" s="174" t="s">
        <v>187</v>
      </c>
      <c r="E31" s="175"/>
      <c r="F31" s="175">
        <v>27942.65</v>
      </c>
      <c r="G31" s="175">
        <v>10161.09</v>
      </c>
      <c r="H31" s="175">
        <v>2513.08</v>
      </c>
      <c r="I31" s="175">
        <v>8879.87</v>
      </c>
      <c r="J31" s="175">
        <v>19189.47</v>
      </c>
      <c r="K31" s="175">
        <v>16639.3</v>
      </c>
      <c r="L31" s="175">
        <v>727.19</v>
      </c>
      <c r="M31" s="175">
        <v>11173.58</v>
      </c>
      <c r="N31" s="175">
        <v>26804.8</v>
      </c>
      <c r="O31" s="175">
        <v>13134.85</v>
      </c>
      <c r="P31" s="175">
        <v>35805.18</v>
      </c>
      <c r="Q31" s="190">
        <v>172971.06</v>
      </c>
      <c r="R31" s="190">
        <v>266039</v>
      </c>
      <c r="S31" s="176">
        <v>93067.94</v>
      </c>
      <c r="T31" s="177">
        <v>0.34982818308593855</v>
      </c>
      <c r="U31" s="155"/>
      <c r="V31" s="173">
        <v>2111</v>
      </c>
      <c r="W31" s="184" t="s">
        <v>231</v>
      </c>
      <c r="X31" s="174" t="s">
        <v>187</v>
      </c>
      <c r="Y31" s="176">
        <v>35805.18</v>
      </c>
      <c r="Z31" s="307">
        <v>0.0007467836731691323</v>
      </c>
      <c r="AA31" s="176">
        <v>73069</v>
      </c>
      <c r="AB31" s="176">
        <v>37263.82</v>
      </c>
      <c r="AC31" s="177">
        <v>0.5099812505987491</v>
      </c>
      <c r="AE31" s="173">
        <v>2111</v>
      </c>
      <c r="AF31" s="184" t="s">
        <v>231</v>
      </c>
      <c r="AG31" s="174" t="s">
        <v>187</v>
      </c>
      <c r="AH31" s="191">
        <v>172971.06</v>
      </c>
      <c r="AI31" s="191">
        <v>249322</v>
      </c>
      <c r="AJ31" s="194">
        <v>16717</v>
      </c>
      <c r="AK31" s="191">
        <v>266039</v>
      </c>
      <c r="AL31" s="191">
        <v>93067.94</v>
      </c>
      <c r="AM31" s="237">
        <v>0.060110633912134906</v>
      </c>
      <c r="AP31" s="173">
        <v>2111</v>
      </c>
      <c r="AQ31" s="184" t="s">
        <v>231</v>
      </c>
      <c r="AR31" s="174" t="s">
        <v>187</v>
      </c>
      <c r="AS31" s="191">
        <f aca="true" t="shared" si="4" ref="AS31:AS54">+AH31</f>
        <v>172971.06</v>
      </c>
      <c r="AT31" s="191">
        <v>249322</v>
      </c>
      <c r="AU31" s="194">
        <v>16717</v>
      </c>
      <c r="AV31" s="191">
        <f aca="true" t="shared" si="5" ref="AV31:AV54">SUM(AT31:AU31)</f>
        <v>266039</v>
      </c>
      <c r="AW31" s="191">
        <f aca="true" t="shared" si="6" ref="AW31:AW54">AV31-AS31</f>
        <v>93067.94</v>
      </c>
      <c r="AX31" s="237">
        <f aca="true" t="shared" si="7" ref="AX31:AX48">+AW31/$AL$55</f>
        <v>0.058542935299302344</v>
      </c>
    </row>
    <row r="32" spans="1:50" s="156" customFormat="1" ht="36" customHeight="1">
      <c r="A32" s="186"/>
      <c r="B32" s="152" t="s">
        <v>325</v>
      </c>
      <c r="C32" s="155" t="s">
        <v>334</v>
      </c>
      <c r="D32" s="159" t="s">
        <v>359</v>
      </c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85">
        <v>0</v>
      </c>
      <c r="R32" s="185">
        <v>0</v>
      </c>
      <c r="S32" s="185">
        <v>0</v>
      </c>
      <c r="T32" s="154"/>
      <c r="U32" s="155"/>
      <c r="V32" s="152" t="s">
        <v>325</v>
      </c>
      <c r="W32" s="155" t="s">
        <v>334</v>
      </c>
      <c r="X32" s="159" t="s">
        <v>359</v>
      </c>
      <c r="Y32" s="185">
        <v>0</v>
      </c>
      <c r="Z32" s="308">
        <v>0</v>
      </c>
      <c r="AA32" s="185">
        <v>63333</v>
      </c>
      <c r="AB32" s="185">
        <v>63333</v>
      </c>
      <c r="AC32" s="154">
        <v>1</v>
      </c>
      <c r="AE32" s="152" t="s">
        <v>325</v>
      </c>
      <c r="AF32" s="155" t="s">
        <v>334</v>
      </c>
      <c r="AG32" s="159" t="s">
        <v>359</v>
      </c>
      <c r="AH32" s="192">
        <v>0</v>
      </c>
      <c r="AI32" s="153">
        <v>190000</v>
      </c>
      <c r="AJ32" s="195">
        <v>-190000</v>
      </c>
      <c r="AK32" s="195">
        <v>0</v>
      </c>
      <c r="AL32" s="195">
        <v>0</v>
      </c>
      <c r="AM32" s="238">
        <v>0</v>
      </c>
      <c r="AP32" s="152" t="s">
        <v>325</v>
      </c>
      <c r="AQ32" s="155" t="s">
        <v>334</v>
      </c>
      <c r="AR32" s="159" t="s">
        <v>359</v>
      </c>
      <c r="AS32" s="153">
        <f t="shared" si="4"/>
        <v>0</v>
      </c>
      <c r="AT32" s="153">
        <v>190000</v>
      </c>
      <c r="AU32" s="195">
        <v>-190000</v>
      </c>
      <c r="AV32" s="153">
        <f t="shared" si="5"/>
        <v>0</v>
      </c>
      <c r="AW32" s="153">
        <f t="shared" si="6"/>
        <v>0</v>
      </c>
      <c r="AX32" s="238">
        <f t="shared" si="7"/>
        <v>0</v>
      </c>
    </row>
    <row r="33" spans="1:50" s="156" customFormat="1" ht="45.75" customHeight="1">
      <c r="A33" s="186"/>
      <c r="B33" s="173">
        <v>2141</v>
      </c>
      <c r="C33" s="184" t="s">
        <v>233</v>
      </c>
      <c r="D33" s="174" t="s">
        <v>188</v>
      </c>
      <c r="E33" s="175">
        <v>31642.48</v>
      </c>
      <c r="F33" s="175">
        <v>28688.66</v>
      </c>
      <c r="G33" s="175"/>
      <c r="H33" s="175">
        <v>23775.36</v>
      </c>
      <c r="I33" s="175">
        <v>28625.55</v>
      </c>
      <c r="J33" s="175">
        <v>62157.44</v>
      </c>
      <c r="K33" s="175">
        <v>15613.4</v>
      </c>
      <c r="L33" s="175">
        <v>17014.6</v>
      </c>
      <c r="M33" s="175">
        <v>13866.64</v>
      </c>
      <c r="N33" s="175">
        <v>22316.58</v>
      </c>
      <c r="O33" s="175">
        <v>33152.63</v>
      </c>
      <c r="P33" s="175">
        <v>128328.93</v>
      </c>
      <c r="Q33" s="175">
        <v>405182.27</v>
      </c>
      <c r="R33" s="175">
        <v>579424</v>
      </c>
      <c r="S33" s="176">
        <v>174241.72999999998</v>
      </c>
      <c r="T33" s="177">
        <v>0.3007154173800187</v>
      </c>
      <c r="U33" s="155"/>
      <c r="V33" s="173">
        <v>2141</v>
      </c>
      <c r="W33" s="184" t="s">
        <v>233</v>
      </c>
      <c r="X33" s="174" t="s">
        <v>188</v>
      </c>
      <c r="Y33" s="176">
        <v>128328.93</v>
      </c>
      <c r="Z33" s="307">
        <v>0.002676538694101369</v>
      </c>
      <c r="AA33" s="176">
        <v>52763</v>
      </c>
      <c r="AB33" s="176">
        <v>-75565.93</v>
      </c>
      <c r="AC33" s="177">
        <v>-1.4321765252165342</v>
      </c>
      <c r="AE33" s="173">
        <v>2141</v>
      </c>
      <c r="AF33" s="184" t="s">
        <v>233</v>
      </c>
      <c r="AG33" s="174" t="s">
        <v>188</v>
      </c>
      <c r="AH33" s="191">
        <v>405182.27</v>
      </c>
      <c r="AI33" s="191">
        <v>750650</v>
      </c>
      <c r="AJ33" s="194">
        <v>-171229</v>
      </c>
      <c r="AK33" s="191">
        <v>579421</v>
      </c>
      <c r="AL33" s="191">
        <v>174238.72999999998</v>
      </c>
      <c r="AM33" s="237">
        <v>0.141127442587805</v>
      </c>
      <c r="AP33" s="173">
        <v>2141</v>
      </c>
      <c r="AQ33" s="184" t="s">
        <v>233</v>
      </c>
      <c r="AR33" s="174" t="s">
        <v>188</v>
      </c>
      <c r="AS33" s="191">
        <f t="shared" si="4"/>
        <v>405182.27</v>
      </c>
      <c r="AT33" s="191">
        <v>750650</v>
      </c>
      <c r="AU33" s="194">
        <v>-171229</v>
      </c>
      <c r="AV33" s="191">
        <f t="shared" si="5"/>
        <v>579421</v>
      </c>
      <c r="AW33" s="191">
        <f t="shared" si="6"/>
        <v>174238.72999999998</v>
      </c>
      <c r="AX33" s="237">
        <f t="shared" si="7"/>
        <v>0.10960215405028423</v>
      </c>
    </row>
    <row r="34" spans="1:50" s="156" customFormat="1" ht="21" customHeight="1">
      <c r="A34" s="186"/>
      <c r="B34" s="152" t="s">
        <v>257</v>
      </c>
      <c r="C34" s="155" t="s">
        <v>258</v>
      </c>
      <c r="D34" s="159" t="s">
        <v>322</v>
      </c>
      <c r="E34" s="153">
        <v>6604</v>
      </c>
      <c r="F34" s="153">
        <v>6402</v>
      </c>
      <c r="G34" s="153">
        <v>9248</v>
      </c>
      <c r="H34" s="153">
        <v>3100</v>
      </c>
      <c r="I34" s="153">
        <v>4064</v>
      </c>
      <c r="J34" s="153">
        <v>6297</v>
      </c>
      <c r="K34" s="153">
        <v>4340</v>
      </c>
      <c r="L34" s="153">
        <v>2221</v>
      </c>
      <c r="M34" s="153">
        <v>9450</v>
      </c>
      <c r="N34" s="153">
        <v>10911</v>
      </c>
      <c r="O34" s="153">
        <v>2032</v>
      </c>
      <c r="P34" s="153">
        <v>8900</v>
      </c>
      <c r="Q34" s="153">
        <v>73569</v>
      </c>
      <c r="R34" s="153">
        <v>75113</v>
      </c>
      <c r="S34" s="185">
        <v>1544</v>
      </c>
      <c r="T34" s="154">
        <v>0.020555696084565922</v>
      </c>
      <c r="U34" s="155"/>
      <c r="V34" s="152" t="s">
        <v>257</v>
      </c>
      <c r="W34" s="155" t="s">
        <v>258</v>
      </c>
      <c r="X34" s="159" t="s">
        <v>322</v>
      </c>
      <c r="Y34" s="185">
        <v>8900</v>
      </c>
      <c r="Z34" s="308">
        <v>0.00018562606559177408</v>
      </c>
      <c r="AA34" s="185">
        <v>8933</v>
      </c>
      <c r="AB34" s="185">
        <v>33</v>
      </c>
      <c r="AC34" s="154">
        <v>0.003694167692824359</v>
      </c>
      <c r="AE34" s="152" t="s">
        <v>257</v>
      </c>
      <c r="AF34" s="155" t="s">
        <v>258</v>
      </c>
      <c r="AG34" s="159" t="s">
        <v>322</v>
      </c>
      <c r="AH34" s="158">
        <v>73569</v>
      </c>
      <c r="AI34" s="158">
        <v>107193</v>
      </c>
      <c r="AJ34" s="195">
        <v>-32080</v>
      </c>
      <c r="AK34" s="158">
        <v>75113</v>
      </c>
      <c r="AL34" s="158">
        <v>1544</v>
      </c>
      <c r="AM34" s="238">
        <v>0.004871422842702473</v>
      </c>
      <c r="AP34" s="152" t="s">
        <v>257</v>
      </c>
      <c r="AQ34" s="155" t="s">
        <v>258</v>
      </c>
      <c r="AR34" s="159" t="s">
        <v>322</v>
      </c>
      <c r="AS34" s="158">
        <f t="shared" si="4"/>
        <v>73569</v>
      </c>
      <c r="AT34" s="158">
        <v>107193</v>
      </c>
      <c r="AU34" s="195">
        <v>-32080</v>
      </c>
      <c r="AV34" s="158">
        <f t="shared" si="5"/>
        <v>75113</v>
      </c>
      <c r="AW34" s="158">
        <f t="shared" si="6"/>
        <v>1544</v>
      </c>
      <c r="AX34" s="238">
        <f t="shared" si="7"/>
        <v>0.0009712291053409242</v>
      </c>
    </row>
    <row r="35" spans="1:50" s="156" customFormat="1" ht="21" customHeight="1">
      <c r="A35" s="186"/>
      <c r="B35" s="173">
        <v>2161</v>
      </c>
      <c r="C35" s="184" t="s">
        <v>232</v>
      </c>
      <c r="D35" s="174" t="s">
        <v>189</v>
      </c>
      <c r="E35" s="175"/>
      <c r="F35" s="175">
        <v>12143.48</v>
      </c>
      <c r="G35" s="175">
        <v>7753.68</v>
      </c>
      <c r="H35" s="175">
        <v>1956.82</v>
      </c>
      <c r="I35" s="175">
        <v>5544.28</v>
      </c>
      <c r="J35" s="175">
        <v>11510.31</v>
      </c>
      <c r="K35" s="175">
        <v>12875.88</v>
      </c>
      <c r="L35" s="175">
        <v>148.05</v>
      </c>
      <c r="M35" s="175">
        <v>8690.8</v>
      </c>
      <c r="N35" s="175">
        <v>12996.47</v>
      </c>
      <c r="O35" s="175">
        <v>12291.64</v>
      </c>
      <c r="P35" s="175">
        <v>24992.86</v>
      </c>
      <c r="Q35" s="190">
        <v>110904.27</v>
      </c>
      <c r="R35" s="190">
        <v>235888</v>
      </c>
      <c r="S35" s="176">
        <v>124983.73</v>
      </c>
      <c r="T35" s="177">
        <v>0.5298435274367497</v>
      </c>
      <c r="U35" s="155"/>
      <c r="V35" s="173">
        <v>2161</v>
      </c>
      <c r="W35" s="184" t="s">
        <v>232</v>
      </c>
      <c r="X35" s="174" t="s">
        <v>189</v>
      </c>
      <c r="Y35" s="176">
        <v>24992.86</v>
      </c>
      <c r="Z35" s="307">
        <v>0.0005212726145714636</v>
      </c>
      <c r="AA35" s="176">
        <v>75289</v>
      </c>
      <c r="AB35" s="176">
        <v>50296.14</v>
      </c>
      <c r="AC35" s="177">
        <v>0.6680410152877578</v>
      </c>
      <c r="AE35" s="173">
        <v>2161</v>
      </c>
      <c r="AF35" s="184" t="s">
        <v>232</v>
      </c>
      <c r="AG35" s="174" t="s">
        <v>189</v>
      </c>
      <c r="AH35" s="191">
        <v>110904.27</v>
      </c>
      <c r="AI35" s="191">
        <v>266267</v>
      </c>
      <c r="AJ35" s="194">
        <v>-30379</v>
      </c>
      <c r="AK35" s="191">
        <v>235888</v>
      </c>
      <c r="AL35" s="191">
        <v>124983.73</v>
      </c>
      <c r="AM35" s="237">
        <v>0.06995398184571269</v>
      </c>
      <c r="AP35" s="173">
        <v>2161</v>
      </c>
      <c r="AQ35" s="184" t="s">
        <v>232</v>
      </c>
      <c r="AR35" s="174" t="s">
        <v>189</v>
      </c>
      <c r="AS35" s="191">
        <f t="shared" si="4"/>
        <v>110904.27</v>
      </c>
      <c r="AT35" s="191">
        <v>266267</v>
      </c>
      <c r="AU35" s="194">
        <v>-30379</v>
      </c>
      <c r="AV35" s="191">
        <f t="shared" si="5"/>
        <v>235888</v>
      </c>
      <c r="AW35" s="191">
        <f t="shared" si="6"/>
        <v>124983.73</v>
      </c>
      <c r="AX35" s="237">
        <f t="shared" si="7"/>
        <v>0.07861906494175624</v>
      </c>
    </row>
    <row r="36" spans="1:50" s="156" customFormat="1" ht="21" customHeight="1">
      <c r="A36" s="186"/>
      <c r="B36" s="152">
        <v>2171</v>
      </c>
      <c r="C36" s="155" t="s">
        <v>333</v>
      </c>
      <c r="D36" s="159" t="s">
        <v>190</v>
      </c>
      <c r="E36" s="153"/>
      <c r="F36" s="153"/>
      <c r="G36" s="153"/>
      <c r="H36" s="153"/>
      <c r="I36" s="153">
        <v>1334.93</v>
      </c>
      <c r="J36" s="153"/>
      <c r="K36" s="153">
        <v>400</v>
      </c>
      <c r="L36" s="153"/>
      <c r="M36" s="153"/>
      <c r="N36" s="153">
        <v>60</v>
      </c>
      <c r="O36" s="153"/>
      <c r="P36" s="153"/>
      <c r="Q36" s="185">
        <v>1794.93</v>
      </c>
      <c r="R36" s="185">
        <v>59745</v>
      </c>
      <c r="S36" s="185">
        <v>57950.07</v>
      </c>
      <c r="T36" s="154">
        <v>0.9699568164699974</v>
      </c>
      <c r="U36" s="155"/>
      <c r="V36" s="152">
        <v>2171</v>
      </c>
      <c r="W36" s="155" t="s">
        <v>333</v>
      </c>
      <c r="X36" s="159" t="s">
        <v>190</v>
      </c>
      <c r="Y36" s="185">
        <v>0</v>
      </c>
      <c r="Z36" s="308">
        <v>0</v>
      </c>
      <c r="AA36" s="185">
        <v>2628</v>
      </c>
      <c r="AB36" s="185">
        <v>2628</v>
      </c>
      <c r="AC36" s="154">
        <v>1</v>
      </c>
      <c r="AE36" s="152">
        <v>2171</v>
      </c>
      <c r="AF36" s="155" t="s">
        <v>333</v>
      </c>
      <c r="AG36" s="159" t="s">
        <v>190</v>
      </c>
      <c r="AH36" s="192">
        <v>1794.93</v>
      </c>
      <c r="AI36" s="158">
        <v>157530</v>
      </c>
      <c r="AJ36" s="195">
        <v>-97785</v>
      </c>
      <c r="AK36" s="158">
        <v>59745</v>
      </c>
      <c r="AL36" s="158">
        <v>57950.07</v>
      </c>
      <c r="AM36" s="238">
        <v>0.027029806083321267</v>
      </c>
      <c r="AP36" s="152">
        <v>2171</v>
      </c>
      <c r="AQ36" s="155" t="s">
        <v>333</v>
      </c>
      <c r="AR36" s="159" t="s">
        <v>190</v>
      </c>
      <c r="AS36" s="158">
        <f t="shared" si="4"/>
        <v>1794.93</v>
      </c>
      <c r="AT36" s="158">
        <v>157530</v>
      </c>
      <c r="AU36" s="195">
        <v>-97785</v>
      </c>
      <c r="AV36" s="158">
        <f t="shared" si="5"/>
        <v>59745</v>
      </c>
      <c r="AW36" s="158">
        <f t="shared" si="6"/>
        <v>57950.07</v>
      </c>
      <c r="AX36" s="238">
        <f t="shared" si="7"/>
        <v>0.03645258720242483</v>
      </c>
    </row>
    <row r="37" spans="1:50" s="156" customFormat="1" ht="31.5" customHeight="1">
      <c r="A37" s="186"/>
      <c r="B37" s="173">
        <v>2211</v>
      </c>
      <c r="C37" s="184" t="s">
        <v>234</v>
      </c>
      <c r="D37" s="174" t="s">
        <v>191</v>
      </c>
      <c r="E37" s="175">
        <v>3643</v>
      </c>
      <c r="F37" s="175">
        <v>7908.42</v>
      </c>
      <c r="G37" s="175">
        <v>36779.85</v>
      </c>
      <c r="H37" s="175">
        <v>4316.51</v>
      </c>
      <c r="I37" s="175">
        <v>15939.25</v>
      </c>
      <c r="J37" s="175">
        <v>33047.54</v>
      </c>
      <c r="K37" s="175">
        <v>35091.66</v>
      </c>
      <c r="L37" s="175">
        <v>14446.36</v>
      </c>
      <c r="M37" s="175">
        <v>42673.24</v>
      </c>
      <c r="N37" s="175">
        <v>22968.82</v>
      </c>
      <c r="O37" s="175">
        <v>32801.47</v>
      </c>
      <c r="P37" s="175">
        <v>93133.55</v>
      </c>
      <c r="Q37" s="175">
        <v>342749.67000000004</v>
      </c>
      <c r="R37" s="175">
        <v>908333</v>
      </c>
      <c r="S37" s="176">
        <v>565583.33</v>
      </c>
      <c r="T37" s="177">
        <v>0.6226607752883578</v>
      </c>
      <c r="U37" s="155"/>
      <c r="V37" s="173">
        <v>2211</v>
      </c>
      <c r="W37" s="184" t="s">
        <v>234</v>
      </c>
      <c r="X37" s="174" t="s">
        <v>191</v>
      </c>
      <c r="Y37" s="176">
        <v>93133.55</v>
      </c>
      <c r="Z37" s="307">
        <v>0.0019424735349544686</v>
      </c>
      <c r="AA37" s="176">
        <v>293315</v>
      </c>
      <c r="AB37" s="176">
        <v>200181.45</v>
      </c>
      <c r="AC37" s="177">
        <v>0.6824794163271568</v>
      </c>
      <c r="AE37" s="173">
        <v>2211</v>
      </c>
      <c r="AF37" s="184" t="s">
        <v>234</v>
      </c>
      <c r="AG37" s="174" t="s">
        <v>191</v>
      </c>
      <c r="AH37" s="191">
        <v>342749.67000000004</v>
      </c>
      <c r="AI37" s="191">
        <v>1124326</v>
      </c>
      <c r="AJ37" s="194">
        <v>-215993</v>
      </c>
      <c r="AK37" s="191">
        <v>908333</v>
      </c>
      <c r="AL37" s="191">
        <v>565583.33</v>
      </c>
      <c r="AM37" s="237">
        <v>0.3072470754601402</v>
      </c>
      <c r="AP37" s="173">
        <v>2211</v>
      </c>
      <c r="AQ37" s="184" t="s">
        <v>234</v>
      </c>
      <c r="AR37" s="174" t="s">
        <v>191</v>
      </c>
      <c r="AS37" s="191">
        <f t="shared" si="4"/>
        <v>342749.67000000004</v>
      </c>
      <c r="AT37" s="191">
        <v>1124326</v>
      </c>
      <c r="AU37" s="194">
        <v>-215993</v>
      </c>
      <c r="AV37" s="191">
        <f t="shared" si="5"/>
        <v>908333</v>
      </c>
      <c r="AW37" s="191">
        <f t="shared" si="6"/>
        <v>565583.33</v>
      </c>
      <c r="AX37" s="237">
        <f t="shared" si="7"/>
        <v>0.35577136761116623</v>
      </c>
    </row>
    <row r="38" spans="1:50" s="156" customFormat="1" ht="21" customHeight="1">
      <c r="A38" s="186"/>
      <c r="B38" s="152">
        <v>2231</v>
      </c>
      <c r="C38" s="155" t="s">
        <v>235</v>
      </c>
      <c r="D38" s="159" t="s">
        <v>287</v>
      </c>
      <c r="E38" s="153">
        <v>902.34</v>
      </c>
      <c r="F38" s="153">
        <v>842.31</v>
      </c>
      <c r="G38" s="153">
        <v>1678.94</v>
      </c>
      <c r="H38" s="153">
        <v>877.04</v>
      </c>
      <c r="I38" s="153">
        <v>1721.38</v>
      </c>
      <c r="J38" s="153">
        <v>1128.44</v>
      </c>
      <c r="K38" s="153">
        <v>1557.85</v>
      </c>
      <c r="L38" s="153"/>
      <c r="M38" s="153">
        <v>2360.6</v>
      </c>
      <c r="N38" s="153">
        <v>2821.12</v>
      </c>
      <c r="O38" s="153">
        <v>239</v>
      </c>
      <c r="P38" s="153">
        <v>661.25</v>
      </c>
      <c r="Q38" s="153">
        <v>14790.27</v>
      </c>
      <c r="R38" s="153">
        <v>12347</v>
      </c>
      <c r="S38" s="185">
        <v>-2443.2700000000004</v>
      </c>
      <c r="T38" s="154">
        <v>-0.19788369644448048</v>
      </c>
      <c r="U38" s="155"/>
      <c r="V38" s="152">
        <v>2231</v>
      </c>
      <c r="W38" s="155" t="s">
        <v>235</v>
      </c>
      <c r="X38" s="159" t="s">
        <v>287</v>
      </c>
      <c r="Y38" s="185">
        <v>661.25</v>
      </c>
      <c r="Z38" s="308">
        <v>1.3791599536242765E-05</v>
      </c>
      <c r="AA38" s="185">
        <v>910</v>
      </c>
      <c r="AB38" s="185">
        <v>248.75</v>
      </c>
      <c r="AC38" s="154">
        <v>0.2733516483516483</v>
      </c>
      <c r="AE38" s="152">
        <v>2231</v>
      </c>
      <c r="AF38" s="155" t="s">
        <v>235</v>
      </c>
      <c r="AG38" s="159" t="s">
        <v>287</v>
      </c>
      <c r="AH38" s="157">
        <v>14790.27</v>
      </c>
      <c r="AI38" s="157">
        <v>10918</v>
      </c>
      <c r="AJ38" s="195">
        <v>1429</v>
      </c>
      <c r="AK38" s="157">
        <v>12347</v>
      </c>
      <c r="AL38" s="195">
        <v>-2443.2700000000004</v>
      </c>
      <c r="AM38" s="238">
        <v>-0.0008311923529445293</v>
      </c>
      <c r="AP38" s="152">
        <v>2231</v>
      </c>
      <c r="AQ38" s="155" t="s">
        <v>235</v>
      </c>
      <c r="AR38" s="159" t="s">
        <v>287</v>
      </c>
      <c r="AS38" s="157">
        <f t="shared" si="4"/>
        <v>14790.27</v>
      </c>
      <c r="AT38" s="157">
        <v>10918</v>
      </c>
      <c r="AU38" s="195">
        <v>1429</v>
      </c>
      <c r="AV38" s="157">
        <f t="shared" si="5"/>
        <v>12347</v>
      </c>
      <c r="AW38" s="157">
        <f t="shared" si="6"/>
        <v>-2443.2700000000004</v>
      </c>
      <c r="AX38" s="238">
        <f t="shared" si="7"/>
        <v>-0.0015369008654186013</v>
      </c>
    </row>
    <row r="39" spans="1:50" s="156" customFormat="1" ht="21" customHeight="1">
      <c r="A39" s="186"/>
      <c r="B39" s="173" t="s">
        <v>292</v>
      </c>
      <c r="C39" s="184" t="s">
        <v>384</v>
      </c>
      <c r="D39" s="174" t="s">
        <v>294</v>
      </c>
      <c r="E39" s="175"/>
      <c r="F39" s="175">
        <v>504</v>
      </c>
      <c r="G39" s="175">
        <v>995</v>
      </c>
      <c r="H39" s="175"/>
      <c r="I39" s="175"/>
      <c r="J39" s="175">
        <v>1284.41</v>
      </c>
      <c r="K39" s="175"/>
      <c r="L39" s="175"/>
      <c r="M39" s="175"/>
      <c r="N39" s="175"/>
      <c r="O39" s="175"/>
      <c r="P39" s="175"/>
      <c r="Q39" s="175">
        <v>2783.41</v>
      </c>
      <c r="R39" s="175">
        <v>175802</v>
      </c>
      <c r="S39" s="176">
        <v>173018.59</v>
      </c>
      <c r="T39" s="177">
        <v>0.9841673587331202</v>
      </c>
      <c r="U39" s="155"/>
      <c r="V39" s="173" t="s">
        <v>292</v>
      </c>
      <c r="W39" s="184" t="s">
        <v>384</v>
      </c>
      <c r="X39" s="174" t="s">
        <v>294</v>
      </c>
      <c r="Y39" s="176">
        <v>0</v>
      </c>
      <c r="Z39" s="307">
        <v>0</v>
      </c>
      <c r="AA39" s="176">
        <v>85635</v>
      </c>
      <c r="AB39" s="176">
        <v>85635</v>
      </c>
      <c r="AC39" s="177">
        <v>1</v>
      </c>
      <c r="AE39" s="173" t="s">
        <v>292</v>
      </c>
      <c r="AF39" s="184" t="s">
        <v>384</v>
      </c>
      <c r="AG39" s="174" t="s">
        <v>294</v>
      </c>
      <c r="AH39" s="191">
        <v>2783.41</v>
      </c>
      <c r="AI39" s="191">
        <v>180019</v>
      </c>
      <c r="AJ39" s="194">
        <v>-4217</v>
      </c>
      <c r="AK39" s="191">
        <v>175802</v>
      </c>
      <c r="AL39" s="191">
        <v>173018.59</v>
      </c>
      <c r="AM39" s="237">
        <v>0.0807015235099745</v>
      </c>
      <c r="AP39" s="173" t="s">
        <v>292</v>
      </c>
      <c r="AQ39" s="184" t="s">
        <v>384</v>
      </c>
      <c r="AR39" s="174" t="s">
        <v>294</v>
      </c>
      <c r="AS39" s="191">
        <f t="shared" si="4"/>
        <v>2783.41</v>
      </c>
      <c r="AT39" s="191">
        <v>180019</v>
      </c>
      <c r="AU39" s="194">
        <v>-4217</v>
      </c>
      <c r="AV39" s="191">
        <f t="shared" si="5"/>
        <v>175802</v>
      </c>
      <c r="AW39" s="191">
        <f t="shared" si="6"/>
        <v>173018.59</v>
      </c>
      <c r="AX39" s="237">
        <f t="shared" si="7"/>
        <v>0.10883464402399494</v>
      </c>
    </row>
    <row r="40" spans="1:50" s="156" customFormat="1" ht="21" customHeight="1">
      <c r="A40" s="186"/>
      <c r="B40" s="152" t="s">
        <v>293</v>
      </c>
      <c r="C40" s="155"/>
      <c r="D40" s="159" t="s">
        <v>295</v>
      </c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85">
        <v>0</v>
      </c>
      <c r="R40" s="185">
        <v>3500</v>
      </c>
      <c r="S40" s="185">
        <v>3500</v>
      </c>
      <c r="T40" s="154">
        <v>1</v>
      </c>
      <c r="U40" s="155"/>
      <c r="V40" s="152" t="s">
        <v>293</v>
      </c>
      <c r="W40" s="155"/>
      <c r="X40" s="159" t="s">
        <v>295</v>
      </c>
      <c r="Y40" s="185">
        <v>0</v>
      </c>
      <c r="Z40" s="308">
        <v>0</v>
      </c>
      <c r="AA40" s="185">
        <v>875</v>
      </c>
      <c r="AB40" s="185">
        <v>875</v>
      </c>
      <c r="AC40" s="154">
        <v>1</v>
      </c>
      <c r="AE40" s="152" t="s">
        <v>293</v>
      </c>
      <c r="AF40" s="155"/>
      <c r="AG40" s="159" t="s">
        <v>295</v>
      </c>
      <c r="AH40" s="192">
        <v>0</v>
      </c>
      <c r="AI40" s="157">
        <v>10500</v>
      </c>
      <c r="AJ40" s="195">
        <v>-7000</v>
      </c>
      <c r="AK40" s="157">
        <v>3500</v>
      </c>
      <c r="AL40" s="157">
        <v>3500</v>
      </c>
      <c r="AM40" s="238">
        <v>0.0016325143574740192</v>
      </c>
      <c r="AP40" s="152" t="s">
        <v>293</v>
      </c>
      <c r="AQ40" s="155" t="s">
        <v>414</v>
      </c>
      <c r="AR40" s="159" t="s">
        <v>295</v>
      </c>
      <c r="AS40" s="157">
        <f t="shared" si="4"/>
        <v>0</v>
      </c>
      <c r="AT40" s="157">
        <v>10500</v>
      </c>
      <c r="AU40" s="195">
        <v>-7000</v>
      </c>
      <c r="AV40" s="157">
        <f t="shared" si="5"/>
        <v>3500</v>
      </c>
      <c r="AW40" s="157">
        <f t="shared" si="6"/>
        <v>3500</v>
      </c>
      <c r="AX40" s="238">
        <f t="shared" si="7"/>
        <v>0.002201620381278002</v>
      </c>
    </row>
    <row r="41" spans="1:50" s="156" customFormat="1" ht="21" customHeight="1">
      <c r="A41" s="186"/>
      <c r="B41" s="173" t="s">
        <v>296</v>
      </c>
      <c r="C41" s="184" t="s">
        <v>372</v>
      </c>
      <c r="D41" s="174" t="s">
        <v>297</v>
      </c>
      <c r="E41" s="175"/>
      <c r="F41" s="175">
        <v>889.76</v>
      </c>
      <c r="G41" s="175"/>
      <c r="H41" s="175"/>
      <c r="I41" s="175">
        <v>175.8</v>
      </c>
      <c r="J41" s="175"/>
      <c r="K41" s="175">
        <v>2716.34</v>
      </c>
      <c r="L41" s="175">
        <v>71.99</v>
      </c>
      <c r="M41" s="175">
        <v>2830.63</v>
      </c>
      <c r="N41" s="175">
        <v>10730.96</v>
      </c>
      <c r="O41" s="175">
        <v>1426.19</v>
      </c>
      <c r="P41" s="175">
        <v>672.8</v>
      </c>
      <c r="Q41" s="175">
        <v>19514.469999999998</v>
      </c>
      <c r="R41" s="175">
        <v>9962</v>
      </c>
      <c r="S41" s="176">
        <v>-9552.469999999998</v>
      </c>
      <c r="T41" s="177">
        <v>-0.9588907849829349</v>
      </c>
      <c r="U41" s="155"/>
      <c r="V41" s="173" t="s">
        <v>296</v>
      </c>
      <c r="W41" s="184" t="s">
        <v>372</v>
      </c>
      <c r="X41" s="174" t="s">
        <v>297</v>
      </c>
      <c r="Y41" s="176">
        <v>672.8</v>
      </c>
      <c r="Z41" s="307">
        <v>1.4032496284286021E-05</v>
      </c>
      <c r="AA41" s="176">
        <v>902</v>
      </c>
      <c r="AB41" s="176">
        <v>229.20000000000005</v>
      </c>
      <c r="AC41" s="177">
        <v>0.25410199556541024</v>
      </c>
      <c r="AE41" s="173" t="s">
        <v>296</v>
      </c>
      <c r="AF41" s="184" t="s">
        <v>372</v>
      </c>
      <c r="AG41" s="174" t="s">
        <v>297</v>
      </c>
      <c r="AH41" s="191">
        <v>19514.469999999998</v>
      </c>
      <c r="AI41" s="191">
        <v>15825</v>
      </c>
      <c r="AJ41" s="194">
        <v>-5863</v>
      </c>
      <c r="AK41" s="191">
        <v>9962</v>
      </c>
      <c r="AL41" s="194">
        <v>-9552.469999999998</v>
      </c>
      <c r="AM41" s="237">
        <v>-0.004141768218466092</v>
      </c>
      <c r="AP41" s="173" t="s">
        <v>296</v>
      </c>
      <c r="AQ41" s="184" t="s">
        <v>372</v>
      </c>
      <c r="AR41" s="174" t="s">
        <v>297</v>
      </c>
      <c r="AS41" s="191">
        <f t="shared" si="4"/>
        <v>19514.469999999998</v>
      </c>
      <c r="AT41" s="191">
        <v>15825</v>
      </c>
      <c r="AU41" s="194">
        <v>-5863</v>
      </c>
      <c r="AV41" s="191">
        <f t="shared" si="5"/>
        <v>9962</v>
      </c>
      <c r="AW41" s="191">
        <f t="shared" si="6"/>
        <v>-9552.469999999998</v>
      </c>
      <c r="AX41" s="237">
        <f t="shared" si="7"/>
        <v>-0.0060088321838704765</v>
      </c>
    </row>
    <row r="42" spans="1:50" s="156" customFormat="1" ht="21" customHeight="1">
      <c r="A42" s="186"/>
      <c r="B42" s="152" t="s">
        <v>298</v>
      </c>
      <c r="C42" s="155" t="s">
        <v>385</v>
      </c>
      <c r="D42" s="159" t="s">
        <v>299</v>
      </c>
      <c r="E42" s="153"/>
      <c r="F42" s="153"/>
      <c r="G42" s="153">
        <v>813.99</v>
      </c>
      <c r="H42" s="153">
        <v>204</v>
      </c>
      <c r="I42" s="153"/>
      <c r="J42" s="153">
        <v>3640.08</v>
      </c>
      <c r="K42" s="153">
        <v>271</v>
      </c>
      <c r="L42" s="153">
        <v>2233.26</v>
      </c>
      <c r="M42" s="153"/>
      <c r="N42" s="153">
        <v>16041.41</v>
      </c>
      <c r="O42" s="153">
        <v>4495</v>
      </c>
      <c r="P42" s="153">
        <v>36834.62</v>
      </c>
      <c r="Q42" s="153">
        <v>64533.36</v>
      </c>
      <c r="R42" s="153">
        <v>10662</v>
      </c>
      <c r="S42" s="185">
        <v>-53871.36</v>
      </c>
      <c r="T42" s="154">
        <v>-5.052650534608891</v>
      </c>
      <c r="U42" s="155"/>
      <c r="V42" s="152" t="s">
        <v>298</v>
      </c>
      <c r="W42" s="155" t="s">
        <v>385</v>
      </c>
      <c r="X42" s="159" t="s">
        <v>299</v>
      </c>
      <c r="Y42" s="185">
        <v>36834.62</v>
      </c>
      <c r="Z42" s="308">
        <v>0.0007682545604683228</v>
      </c>
      <c r="AA42" s="185">
        <v>875</v>
      </c>
      <c r="AB42" s="185">
        <v>-35959.62</v>
      </c>
      <c r="AC42" s="154">
        <v>-41.09670857142857</v>
      </c>
      <c r="AE42" s="152" t="s">
        <v>298</v>
      </c>
      <c r="AF42" s="155" t="s">
        <v>385</v>
      </c>
      <c r="AG42" s="159" t="s">
        <v>299</v>
      </c>
      <c r="AH42" s="192">
        <v>64533.36</v>
      </c>
      <c r="AI42" s="157">
        <v>10500</v>
      </c>
      <c r="AJ42" s="195">
        <v>162</v>
      </c>
      <c r="AK42" s="157">
        <v>10662</v>
      </c>
      <c r="AL42" s="195">
        <v>-53871.36</v>
      </c>
      <c r="AM42" s="238">
        <v>-0.007946492187014834</v>
      </c>
      <c r="AP42" s="152" t="s">
        <v>298</v>
      </c>
      <c r="AQ42" s="155" t="s">
        <v>385</v>
      </c>
      <c r="AR42" s="159" t="s">
        <v>299</v>
      </c>
      <c r="AS42" s="157">
        <f t="shared" si="4"/>
        <v>64533.36</v>
      </c>
      <c r="AT42" s="157">
        <v>10500</v>
      </c>
      <c r="AU42" s="195">
        <v>162</v>
      </c>
      <c r="AV42" s="157">
        <f t="shared" si="5"/>
        <v>10662</v>
      </c>
      <c r="AW42" s="157">
        <f t="shared" si="6"/>
        <v>-53871.36</v>
      </c>
      <c r="AX42" s="238">
        <f t="shared" si="7"/>
        <v>-0.03388693832661843</v>
      </c>
    </row>
    <row r="43" spans="1:50" s="156" customFormat="1" ht="33" customHeight="1">
      <c r="A43" s="186"/>
      <c r="B43" s="173" t="s">
        <v>300</v>
      </c>
      <c r="C43" s="184" t="s">
        <v>386</v>
      </c>
      <c r="D43" s="174" t="s">
        <v>301</v>
      </c>
      <c r="E43" s="175"/>
      <c r="F43" s="175"/>
      <c r="G43" s="175"/>
      <c r="H43" s="175"/>
      <c r="I43" s="175">
        <v>2740.16</v>
      </c>
      <c r="J43" s="175"/>
      <c r="K43" s="175"/>
      <c r="L43" s="175"/>
      <c r="M43" s="175">
        <v>875</v>
      </c>
      <c r="N43" s="175">
        <v>788.5</v>
      </c>
      <c r="O43" s="175">
        <v>2714.35</v>
      </c>
      <c r="P43" s="175">
        <v>3649.64</v>
      </c>
      <c r="Q43" s="190">
        <v>10767.65</v>
      </c>
      <c r="R43" s="190">
        <v>6240</v>
      </c>
      <c r="S43" s="176">
        <v>-4527.65</v>
      </c>
      <c r="T43" s="177">
        <v>-0.7255849358974359</v>
      </c>
      <c r="U43" s="155"/>
      <c r="V43" s="173" t="s">
        <v>300</v>
      </c>
      <c r="W43" s="184"/>
      <c r="X43" s="174" t="s">
        <v>301</v>
      </c>
      <c r="Y43" s="176">
        <v>3649.64</v>
      </c>
      <c r="Z43" s="307">
        <v>7.612003528386093E-05</v>
      </c>
      <c r="AA43" s="176">
        <v>875</v>
      </c>
      <c r="AB43" s="176">
        <v>-2774.64</v>
      </c>
      <c r="AC43" s="177">
        <v>-3.1710171428571425</v>
      </c>
      <c r="AE43" s="173" t="s">
        <v>300</v>
      </c>
      <c r="AF43" s="184"/>
      <c r="AG43" s="174" t="s">
        <v>301</v>
      </c>
      <c r="AH43" s="191">
        <v>10767.65</v>
      </c>
      <c r="AI43" s="191">
        <v>10500</v>
      </c>
      <c r="AJ43" s="194">
        <v>-4260</v>
      </c>
      <c r="AK43" s="191">
        <v>6240</v>
      </c>
      <c r="AL43" s="194">
        <v>-4527.65</v>
      </c>
      <c r="AM43" s="237">
        <v>-0.00040953255171593254</v>
      </c>
      <c r="AP43" s="173" t="s">
        <v>300</v>
      </c>
      <c r="AQ43" s="184" t="s">
        <v>386</v>
      </c>
      <c r="AR43" s="174" t="s">
        <v>301</v>
      </c>
      <c r="AS43" s="191">
        <f t="shared" si="4"/>
        <v>10767.65</v>
      </c>
      <c r="AT43" s="191">
        <v>10500</v>
      </c>
      <c r="AU43" s="194">
        <v>-4260</v>
      </c>
      <c r="AV43" s="191">
        <f t="shared" si="5"/>
        <v>6240</v>
      </c>
      <c r="AW43" s="191">
        <f t="shared" si="6"/>
        <v>-4527.65</v>
      </c>
      <c r="AX43" s="237">
        <f t="shared" si="7"/>
        <v>-0.0028480475769409558</v>
      </c>
    </row>
    <row r="44" spans="1:50" s="156" customFormat="1" ht="21" customHeight="1">
      <c r="A44" s="186"/>
      <c r="B44" s="152" t="s">
        <v>302</v>
      </c>
      <c r="C44" s="155" t="s">
        <v>373</v>
      </c>
      <c r="D44" s="159" t="s">
        <v>303</v>
      </c>
      <c r="E44" s="153"/>
      <c r="F44" s="153"/>
      <c r="G44" s="153"/>
      <c r="H44" s="153"/>
      <c r="I44" s="153">
        <v>1602.74</v>
      </c>
      <c r="J44" s="153"/>
      <c r="K44" s="153"/>
      <c r="L44" s="153"/>
      <c r="M44" s="153"/>
      <c r="N44" s="153"/>
      <c r="O44" s="153"/>
      <c r="P44" s="153"/>
      <c r="Q44" s="185">
        <v>1602.74</v>
      </c>
      <c r="R44" s="185">
        <v>5103</v>
      </c>
      <c r="S44" s="185">
        <v>3500.26</v>
      </c>
      <c r="T44" s="154">
        <v>0.6859220066627475</v>
      </c>
      <c r="U44" s="155"/>
      <c r="V44" s="152" t="s">
        <v>302</v>
      </c>
      <c r="W44" s="155"/>
      <c r="X44" s="159" t="s">
        <v>303</v>
      </c>
      <c r="Y44" s="185">
        <v>0</v>
      </c>
      <c r="Z44" s="308">
        <v>0</v>
      </c>
      <c r="AA44" s="185">
        <v>875</v>
      </c>
      <c r="AB44" s="185">
        <v>875</v>
      </c>
      <c r="AC44" s="154">
        <v>1</v>
      </c>
      <c r="AE44" s="152" t="s">
        <v>302</v>
      </c>
      <c r="AF44" s="155" t="s">
        <v>373</v>
      </c>
      <c r="AG44" s="159" t="s">
        <v>303</v>
      </c>
      <c r="AH44" s="192">
        <v>1602.74</v>
      </c>
      <c r="AI44" s="157">
        <v>17700</v>
      </c>
      <c r="AJ44" s="195">
        <v>-12597</v>
      </c>
      <c r="AK44" s="157">
        <v>5103</v>
      </c>
      <c r="AL44" s="157">
        <v>3500.26</v>
      </c>
      <c r="AM44" s="238">
        <v>0.001632635629969146</v>
      </c>
      <c r="AP44" s="152" t="s">
        <v>302</v>
      </c>
      <c r="AQ44" s="155" t="s">
        <v>373</v>
      </c>
      <c r="AR44" s="159" t="s">
        <v>303</v>
      </c>
      <c r="AS44" s="157">
        <f t="shared" si="4"/>
        <v>1602.74</v>
      </c>
      <c r="AT44" s="157">
        <v>17700</v>
      </c>
      <c r="AU44" s="195">
        <v>-12597</v>
      </c>
      <c r="AV44" s="157">
        <f t="shared" si="5"/>
        <v>5103</v>
      </c>
      <c r="AW44" s="157">
        <f t="shared" si="6"/>
        <v>3500.26</v>
      </c>
      <c r="AX44" s="238">
        <f t="shared" si="7"/>
        <v>0.002201783930220611</v>
      </c>
    </row>
    <row r="45" spans="1:50" s="156" customFormat="1" ht="34.5" customHeight="1">
      <c r="A45" s="186"/>
      <c r="B45" s="173" t="s">
        <v>326</v>
      </c>
      <c r="C45" s="184"/>
      <c r="D45" s="174" t="s">
        <v>327</v>
      </c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90">
        <v>0</v>
      </c>
      <c r="R45" s="190">
        <v>15000</v>
      </c>
      <c r="S45" s="176">
        <v>15000</v>
      </c>
      <c r="T45" s="177">
        <v>1</v>
      </c>
      <c r="U45" s="155"/>
      <c r="V45" s="173" t="s">
        <v>326</v>
      </c>
      <c r="W45" s="184"/>
      <c r="X45" s="174" t="s">
        <v>327</v>
      </c>
      <c r="Y45" s="176">
        <v>0</v>
      </c>
      <c r="Z45" s="307">
        <v>0</v>
      </c>
      <c r="AA45" s="176">
        <v>1250</v>
      </c>
      <c r="AB45" s="176">
        <v>1250</v>
      </c>
      <c r="AC45" s="177">
        <v>1</v>
      </c>
      <c r="AE45" s="173" t="s">
        <v>326</v>
      </c>
      <c r="AF45" s="184"/>
      <c r="AG45" s="174" t="s">
        <v>327</v>
      </c>
      <c r="AH45" s="191">
        <v>0</v>
      </c>
      <c r="AI45" s="191">
        <v>15000</v>
      </c>
      <c r="AJ45" s="194">
        <v>0</v>
      </c>
      <c r="AK45" s="191">
        <v>15000</v>
      </c>
      <c r="AL45" s="191">
        <v>15000</v>
      </c>
      <c r="AM45" s="237">
        <v>0.006996490103460083</v>
      </c>
      <c r="AP45" s="173" t="s">
        <v>326</v>
      </c>
      <c r="AQ45" s="184"/>
      <c r="AR45" s="174" t="s">
        <v>327</v>
      </c>
      <c r="AS45" s="191">
        <f t="shared" si="4"/>
        <v>0</v>
      </c>
      <c r="AT45" s="191">
        <v>15000</v>
      </c>
      <c r="AU45" s="194">
        <v>0</v>
      </c>
      <c r="AV45" s="191">
        <f t="shared" si="5"/>
        <v>15000</v>
      </c>
      <c r="AW45" s="191">
        <f t="shared" si="6"/>
        <v>15000</v>
      </c>
      <c r="AX45" s="237">
        <f t="shared" si="7"/>
        <v>0.009435515919762865</v>
      </c>
    </row>
    <row r="46" spans="1:50" s="156" customFormat="1" ht="21" customHeight="1">
      <c r="A46" s="186"/>
      <c r="B46" s="152">
        <v>2611</v>
      </c>
      <c r="C46" s="155" t="s">
        <v>238</v>
      </c>
      <c r="D46" s="159" t="s">
        <v>192</v>
      </c>
      <c r="E46" s="153">
        <v>45000</v>
      </c>
      <c r="F46" s="153">
        <v>60000</v>
      </c>
      <c r="G46" s="153">
        <v>110000</v>
      </c>
      <c r="H46" s="153"/>
      <c r="I46" s="153">
        <v>2276.4</v>
      </c>
      <c r="J46" s="153">
        <v>43122</v>
      </c>
      <c r="K46" s="153">
        <v>15985.87</v>
      </c>
      <c r="L46" s="153">
        <v>49770.98</v>
      </c>
      <c r="M46" s="153">
        <v>50806.63</v>
      </c>
      <c r="N46" s="153">
        <v>37171.57</v>
      </c>
      <c r="O46" s="153">
        <v>30069.25</v>
      </c>
      <c r="P46" s="153">
        <v>205792.52</v>
      </c>
      <c r="Q46" s="153">
        <v>649995.22</v>
      </c>
      <c r="R46" s="153">
        <v>923299</v>
      </c>
      <c r="S46" s="185">
        <v>273303.78</v>
      </c>
      <c r="T46" s="154">
        <v>0.2960078804374315</v>
      </c>
      <c r="U46" s="155"/>
      <c r="V46" s="152">
        <v>2611</v>
      </c>
      <c r="W46" s="155" t="s">
        <v>238</v>
      </c>
      <c r="X46" s="159" t="s">
        <v>192</v>
      </c>
      <c r="Y46" s="185">
        <v>205792.52</v>
      </c>
      <c r="Z46" s="308">
        <v>0.0042921860467209525</v>
      </c>
      <c r="AA46" s="185">
        <v>267574</v>
      </c>
      <c r="AB46" s="185">
        <v>61781.48000000001</v>
      </c>
      <c r="AC46" s="154">
        <v>0.23089493000067274</v>
      </c>
      <c r="AE46" s="152">
        <v>2611</v>
      </c>
      <c r="AF46" s="155" t="s">
        <v>238</v>
      </c>
      <c r="AG46" s="159" t="s">
        <v>192</v>
      </c>
      <c r="AH46" s="158">
        <v>649995.22</v>
      </c>
      <c r="AI46" s="158">
        <v>2156697</v>
      </c>
      <c r="AJ46" s="195">
        <v>-1233398</v>
      </c>
      <c r="AK46" s="158">
        <v>923299</v>
      </c>
      <c r="AL46" s="158">
        <v>273303.78</v>
      </c>
      <c r="AM46" s="238">
        <v>0.22346616810362283</v>
      </c>
      <c r="AP46" s="152">
        <v>2611</v>
      </c>
      <c r="AQ46" s="155" t="s">
        <v>238</v>
      </c>
      <c r="AR46" s="159" t="s">
        <v>192</v>
      </c>
      <c r="AS46" s="158">
        <f t="shared" si="4"/>
        <v>649995.22</v>
      </c>
      <c r="AT46" s="158">
        <v>2156697</v>
      </c>
      <c r="AU46" s="195">
        <v>-1233398</v>
      </c>
      <c r="AV46" s="158">
        <f t="shared" si="5"/>
        <v>923299</v>
      </c>
      <c r="AW46" s="158">
        <f t="shared" si="6"/>
        <v>273303.78</v>
      </c>
      <c r="AX46" s="238">
        <f t="shared" si="7"/>
        <v>0.1719174778080912</v>
      </c>
    </row>
    <row r="47" spans="1:50" s="156" customFormat="1" ht="21" customHeight="1">
      <c r="A47" s="186"/>
      <c r="B47" s="173">
        <v>2711</v>
      </c>
      <c r="C47" s="184" t="s">
        <v>335</v>
      </c>
      <c r="D47" s="174" t="s">
        <v>193</v>
      </c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90">
        <v>0</v>
      </c>
      <c r="R47" s="190">
        <v>2940</v>
      </c>
      <c r="S47" s="176">
        <v>2940</v>
      </c>
      <c r="T47" s="177">
        <v>1</v>
      </c>
      <c r="U47" s="155"/>
      <c r="V47" s="173">
        <v>2711</v>
      </c>
      <c r="W47" s="184" t="s">
        <v>335</v>
      </c>
      <c r="X47" s="174" t="s">
        <v>193</v>
      </c>
      <c r="Y47" s="176">
        <v>0</v>
      </c>
      <c r="Z47" s="307">
        <v>0</v>
      </c>
      <c r="AA47" s="176">
        <v>1021</v>
      </c>
      <c r="AB47" s="176">
        <v>1021</v>
      </c>
      <c r="AC47" s="177">
        <v>1</v>
      </c>
      <c r="AE47" s="173">
        <v>2711</v>
      </c>
      <c r="AF47" s="184" t="s">
        <v>335</v>
      </c>
      <c r="AG47" s="174" t="s">
        <v>193</v>
      </c>
      <c r="AH47" s="191">
        <v>0</v>
      </c>
      <c r="AI47" s="191">
        <v>14348</v>
      </c>
      <c r="AJ47" s="194">
        <v>-11408</v>
      </c>
      <c r="AK47" s="191">
        <v>2940</v>
      </c>
      <c r="AL47" s="191">
        <v>2940</v>
      </c>
      <c r="AM47" s="237">
        <v>0.001371312060278176</v>
      </c>
      <c r="AP47" s="173">
        <v>2711</v>
      </c>
      <c r="AQ47" s="184" t="s">
        <v>335</v>
      </c>
      <c r="AR47" s="174" t="s">
        <v>193</v>
      </c>
      <c r="AS47" s="191">
        <f t="shared" si="4"/>
        <v>0</v>
      </c>
      <c r="AT47" s="191">
        <v>14348</v>
      </c>
      <c r="AU47" s="194">
        <v>-11408</v>
      </c>
      <c r="AV47" s="191">
        <f t="shared" si="5"/>
        <v>2940</v>
      </c>
      <c r="AW47" s="191">
        <f t="shared" si="6"/>
        <v>2940</v>
      </c>
      <c r="AX47" s="237">
        <f t="shared" si="7"/>
        <v>0.0018493611202735215</v>
      </c>
    </row>
    <row r="48" spans="1:50" s="156" customFormat="1" ht="21" customHeight="1">
      <c r="A48" s="186"/>
      <c r="B48" s="152" t="s">
        <v>328</v>
      </c>
      <c r="C48" s="155" t="s">
        <v>336</v>
      </c>
      <c r="D48" s="159" t="s">
        <v>360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85">
        <v>0</v>
      </c>
      <c r="R48" s="185">
        <v>3499</v>
      </c>
      <c r="S48" s="185">
        <v>3499</v>
      </c>
      <c r="T48" s="154">
        <v>1</v>
      </c>
      <c r="U48" s="155"/>
      <c r="V48" s="152" t="s">
        <v>328</v>
      </c>
      <c r="W48" s="155" t="s">
        <v>336</v>
      </c>
      <c r="X48" s="159" t="s">
        <v>360</v>
      </c>
      <c r="Y48" s="185">
        <v>0</v>
      </c>
      <c r="Z48" s="308">
        <v>0</v>
      </c>
      <c r="AA48" s="185">
        <v>875</v>
      </c>
      <c r="AB48" s="185">
        <v>875</v>
      </c>
      <c r="AC48" s="154">
        <v>1</v>
      </c>
      <c r="AE48" s="152" t="s">
        <v>328</v>
      </c>
      <c r="AF48" s="155" t="s">
        <v>336</v>
      </c>
      <c r="AG48" s="159" t="s">
        <v>360</v>
      </c>
      <c r="AH48" s="192">
        <v>0</v>
      </c>
      <c r="AI48" s="158">
        <v>65496</v>
      </c>
      <c r="AJ48" s="195">
        <v>-61997</v>
      </c>
      <c r="AK48" s="158">
        <v>3499</v>
      </c>
      <c r="AL48" s="158">
        <v>3499</v>
      </c>
      <c r="AM48" s="238">
        <v>0.0016320479248004552</v>
      </c>
      <c r="AP48" s="152" t="s">
        <v>328</v>
      </c>
      <c r="AQ48" s="155" t="s">
        <v>336</v>
      </c>
      <c r="AR48" s="159" t="s">
        <v>360</v>
      </c>
      <c r="AS48" s="158">
        <f t="shared" si="4"/>
        <v>0</v>
      </c>
      <c r="AT48" s="158">
        <v>65496</v>
      </c>
      <c r="AU48" s="195">
        <v>-61997</v>
      </c>
      <c r="AV48" s="158">
        <f t="shared" si="5"/>
        <v>3499</v>
      </c>
      <c r="AW48" s="158">
        <f t="shared" si="6"/>
        <v>3499</v>
      </c>
      <c r="AX48" s="238">
        <f t="shared" si="7"/>
        <v>0.002200991346883351</v>
      </c>
    </row>
    <row r="49" spans="1:50" s="156" customFormat="1" ht="21" customHeight="1">
      <c r="A49" s="186"/>
      <c r="B49" s="152" t="s">
        <v>399</v>
      </c>
      <c r="C49" s="155" t="s">
        <v>335</v>
      </c>
      <c r="D49" s="159" t="s">
        <v>400</v>
      </c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>
        <v>232</v>
      </c>
      <c r="P49" s="153">
        <v>6396.8</v>
      </c>
      <c r="Q49" s="185">
        <v>6628.8</v>
      </c>
      <c r="R49" s="185">
        <v>1142</v>
      </c>
      <c r="S49" s="185">
        <v>-5486.8</v>
      </c>
      <c r="T49" s="154">
        <v>-4.804553415061296</v>
      </c>
      <c r="U49" s="155"/>
      <c r="V49" s="152" t="s">
        <v>399</v>
      </c>
      <c r="W49" s="155" t="s">
        <v>335</v>
      </c>
      <c r="X49" s="159" t="s">
        <v>400</v>
      </c>
      <c r="Y49" s="185">
        <v>6396.8</v>
      </c>
      <c r="Z49" s="308"/>
      <c r="AA49" s="185">
        <v>0</v>
      </c>
      <c r="AB49" s="185">
        <v>-6396.8</v>
      </c>
      <c r="AC49" s="154"/>
      <c r="AE49" s="152" t="s">
        <v>399</v>
      </c>
      <c r="AF49" s="155" t="s">
        <v>335</v>
      </c>
      <c r="AG49" s="159" t="s">
        <v>400</v>
      </c>
      <c r="AH49" s="192">
        <v>6628.8</v>
      </c>
      <c r="AI49" s="158"/>
      <c r="AJ49" s="195">
        <v>1146</v>
      </c>
      <c r="AK49" s="158">
        <v>1146</v>
      </c>
      <c r="AL49" s="195">
        <v>-5482.8</v>
      </c>
      <c r="AM49" s="238">
        <v>0.00042631946363750104</v>
      </c>
      <c r="AP49" s="152" t="s">
        <v>399</v>
      </c>
      <c r="AQ49" s="155" t="s">
        <v>335</v>
      </c>
      <c r="AR49" s="159" t="s">
        <v>400</v>
      </c>
      <c r="AS49" s="158">
        <f t="shared" si="4"/>
        <v>6628.8</v>
      </c>
      <c r="AT49" s="158"/>
      <c r="AU49" s="195">
        <v>1146</v>
      </c>
      <c r="AV49" s="158">
        <f t="shared" si="5"/>
        <v>1146</v>
      </c>
      <c r="AW49" s="158">
        <f t="shared" si="6"/>
        <v>-5482.8</v>
      </c>
      <c r="AX49" s="238"/>
    </row>
    <row r="50" spans="1:50" s="156" customFormat="1" ht="21" customHeight="1">
      <c r="A50" s="186"/>
      <c r="B50" s="173" t="s">
        <v>236</v>
      </c>
      <c r="C50" s="184" t="s">
        <v>380</v>
      </c>
      <c r="D50" s="174" t="s">
        <v>237</v>
      </c>
      <c r="E50" s="175"/>
      <c r="F50" s="175">
        <v>1002.01</v>
      </c>
      <c r="G50" s="175">
        <v>2400</v>
      </c>
      <c r="H50" s="175">
        <v>1428.94</v>
      </c>
      <c r="I50" s="175">
        <v>1300.99</v>
      </c>
      <c r="J50" s="175">
        <v>2256.52</v>
      </c>
      <c r="K50" s="175">
        <v>1075.85</v>
      </c>
      <c r="L50" s="175">
        <v>1389.16</v>
      </c>
      <c r="M50" s="175">
        <v>796.65</v>
      </c>
      <c r="N50" s="175">
        <v>2467.8</v>
      </c>
      <c r="O50" s="175">
        <v>1373.59</v>
      </c>
      <c r="P50" s="175">
        <v>1349.59</v>
      </c>
      <c r="Q50" s="175">
        <v>16841.100000000002</v>
      </c>
      <c r="R50" s="175">
        <v>42268</v>
      </c>
      <c r="S50" s="176">
        <v>25426.899999999998</v>
      </c>
      <c r="T50" s="177">
        <v>0.6015638307939812</v>
      </c>
      <c r="U50" s="155"/>
      <c r="V50" s="173" t="s">
        <v>236</v>
      </c>
      <c r="W50" s="184" t="s">
        <v>380</v>
      </c>
      <c r="X50" s="174" t="s">
        <v>237</v>
      </c>
      <c r="Y50" s="176">
        <v>1349.59</v>
      </c>
      <c r="Z50" s="307">
        <v>2.8148211445168804E-05</v>
      </c>
      <c r="AA50" s="176">
        <v>7854</v>
      </c>
      <c r="AB50" s="176">
        <v>6504.41</v>
      </c>
      <c r="AC50" s="177">
        <v>7.433611428571428</v>
      </c>
      <c r="AE50" s="173" t="s">
        <v>236</v>
      </c>
      <c r="AF50" s="184" t="s">
        <v>380</v>
      </c>
      <c r="AG50" s="174" t="s">
        <v>237</v>
      </c>
      <c r="AH50" s="191">
        <v>16841.100000000002</v>
      </c>
      <c r="AI50" s="191">
        <v>94245</v>
      </c>
      <c r="AJ50" s="194">
        <v>-51977</v>
      </c>
      <c r="AK50" s="191">
        <v>42268</v>
      </c>
      <c r="AL50" s="191">
        <v>25426.899999999998</v>
      </c>
      <c r="AM50" s="237">
        <v>0.012489429819359856</v>
      </c>
      <c r="AP50" s="173" t="s">
        <v>236</v>
      </c>
      <c r="AQ50" s="184" t="s">
        <v>380</v>
      </c>
      <c r="AR50" s="174" t="s">
        <v>237</v>
      </c>
      <c r="AS50" s="191">
        <f t="shared" si="4"/>
        <v>16841.100000000002</v>
      </c>
      <c r="AT50" s="191">
        <v>94245</v>
      </c>
      <c r="AU50" s="194">
        <v>-51977</v>
      </c>
      <c r="AV50" s="191">
        <f t="shared" si="5"/>
        <v>42268</v>
      </c>
      <c r="AW50" s="191">
        <f t="shared" si="6"/>
        <v>25426.899999999998</v>
      </c>
      <c r="AX50" s="237">
        <f>+AW50/$AL$55</f>
        <v>0.015994394649347893</v>
      </c>
    </row>
    <row r="51" spans="1:50" s="156" customFormat="1" ht="33" customHeight="1">
      <c r="A51" s="186"/>
      <c r="B51" s="152" t="s">
        <v>304</v>
      </c>
      <c r="C51" s="155" t="s">
        <v>381</v>
      </c>
      <c r="D51" s="159" t="s">
        <v>306</v>
      </c>
      <c r="E51" s="153"/>
      <c r="F51" s="153"/>
      <c r="G51" s="153">
        <v>1185.38</v>
      </c>
      <c r="H51" s="153">
        <v>14923.43</v>
      </c>
      <c r="I51" s="153">
        <v>102</v>
      </c>
      <c r="J51" s="153">
        <v>700.02</v>
      </c>
      <c r="K51" s="153">
        <v>2820.02</v>
      </c>
      <c r="L51" s="153">
        <v>243.4</v>
      </c>
      <c r="M51" s="153">
        <v>278.4</v>
      </c>
      <c r="N51" s="153">
        <v>1151.09</v>
      </c>
      <c r="O51" s="153">
        <v>10421.95</v>
      </c>
      <c r="P51" s="153">
        <v>4177.2</v>
      </c>
      <c r="Q51" s="153">
        <v>36002.89000000001</v>
      </c>
      <c r="R51" s="153">
        <v>25474</v>
      </c>
      <c r="S51" s="185">
        <v>-10528.890000000007</v>
      </c>
      <c r="T51" s="154">
        <v>-0.4133190704247471</v>
      </c>
      <c r="U51" s="155"/>
      <c r="V51" s="152" t="s">
        <v>304</v>
      </c>
      <c r="W51" s="155" t="s">
        <v>381</v>
      </c>
      <c r="X51" s="159" t="s">
        <v>306</v>
      </c>
      <c r="Y51" s="185">
        <v>4177.2</v>
      </c>
      <c r="Z51" s="308">
        <v>8.712328103257961E-05</v>
      </c>
      <c r="AA51" s="185">
        <v>875</v>
      </c>
      <c r="AB51" s="185">
        <v>-3302.2</v>
      </c>
      <c r="AC51" s="154">
        <v>-0.16341053048297702</v>
      </c>
      <c r="AE51" s="152" t="s">
        <v>304</v>
      </c>
      <c r="AF51" s="155" t="s">
        <v>381</v>
      </c>
      <c r="AG51" s="159" t="s">
        <v>306</v>
      </c>
      <c r="AH51" s="192">
        <v>36002.89000000001</v>
      </c>
      <c r="AI51" s="158">
        <v>10500</v>
      </c>
      <c r="AJ51" s="195">
        <v>14974</v>
      </c>
      <c r="AK51" s="158">
        <v>25474</v>
      </c>
      <c r="AL51" s="195">
        <v>-10528.890000000007</v>
      </c>
      <c r="AM51" s="238">
        <v>-0.002962635748349761</v>
      </c>
      <c r="AP51" s="152" t="s">
        <v>304</v>
      </c>
      <c r="AQ51" s="155" t="s">
        <v>381</v>
      </c>
      <c r="AR51" s="159" t="s">
        <v>306</v>
      </c>
      <c r="AS51" s="158">
        <f t="shared" si="4"/>
        <v>36002.89000000001</v>
      </c>
      <c r="AT51" s="158">
        <v>10500</v>
      </c>
      <c r="AU51" s="195">
        <v>14974</v>
      </c>
      <c r="AV51" s="158">
        <f t="shared" si="5"/>
        <v>25474</v>
      </c>
      <c r="AW51" s="158">
        <f t="shared" si="6"/>
        <v>-10528.890000000007</v>
      </c>
      <c r="AX51" s="238">
        <f>+AW51/$AL$55</f>
        <v>-0.006623033947495473</v>
      </c>
    </row>
    <row r="52" spans="1:50" s="156" customFormat="1" ht="28.5" customHeight="1">
      <c r="A52" s="186"/>
      <c r="B52" s="173">
        <v>2941</v>
      </c>
      <c r="C52" s="184" t="s">
        <v>233</v>
      </c>
      <c r="D52" s="174" t="s">
        <v>194</v>
      </c>
      <c r="E52" s="175"/>
      <c r="F52" s="175"/>
      <c r="G52" s="175"/>
      <c r="H52" s="175"/>
      <c r="I52" s="175"/>
      <c r="J52" s="175"/>
      <c r="K52" s="175"/>
      <c r="L52" s="175"/>
      <c r="M52" s="175"/>
      <c r="N52" s="175">
        <v>2611.85</v>
      </c>
      <c r="O52" s="175">
        <v>1290.01</v>
      </c>
      <c r="P52" s="175">
        <v>999</v>
      </c>
      <c r="Q52" s="190">
        <v>4900.86</v>
      </c>
      <c r="R52" s="190">
        <v>190000</v>
      </c>
      <c r="S52" s="176">
        <v>185099.14</v>
      </c>
      <c r="T52" s="177">
        <v>0.9742060000000001</v>
      </c>
      <c r="U52" s="155"/>
      <c r="V52" s="173">
        <v>2941</v>
      </c>
      <c r="W52" s="184" t="s">
        <v>233</v>
      </c>
      <c r="X52" s="174" t="s">
        <v>194</v>
      </c>
      <c r="Y52" s="176">
        <v>999</v>
      </c>
      <c r="Z52" s="307">
        <v>2.083600444114408E-05</v>
      </c>
      <c r="AA52" s="176">
        <v>20208</v>
      </c>
      <c r="AB52" s="176">
        <v>19209</v>
      </c>
      <c r="AC52" s="177">
        <v>4.3906285714285715</v>
      </c>
      <c r="AE52" s="173">
        <v>2941</v>
      </c>
      <c r="AF52" s="184" t="s">
        <v>233</v>
      </c>
      <c r="AG52" s="174" t="s">
        <v>194</v>
      </c>
      <c r="AH52" s="191">
        <v>4900.86</v>
      </c>
      <c r="AI52" s="191">
        <v>179000</v>
      </c>
      <c r="AJ52" s="194">
        <v>11000</v>
      </c>
      <c r="AK52" s="191">
        <v>190000</v>
      </c>
      <c r="AL52" s="191">
        <v>185099.14</v>
      </c>
      <c r="AM52" s="237">
        <v>0.0868022529854886</v>
      </c>
      <c r="AP52" s="173">
        <v>2941</v>
      </c>
      <c r="AQ52" s="184" t="s">
        <v>233</v>
      </c>
      <c r="AR52" s="174" t="s">
        <v>194</v>
      </c>
      <c r="AS52" s="191">
        <f t="shared" si="4"/>
        <v>4900.86</v>
      </c>
      <c r="AT52" s="191">
        <v>179000</v>
      </c>
      <c r="AU52" s="194">
        <v>11000</v>
      </c>
      <c r="AV52" s="191">
        <f t="shared" si="5"/>
        <v>190000</v>
      </c>
      <c r="AW52" s="191">
        <f t="shared" si="6"/>
        <v>185099.14</v>
      </c>
      <c r="AX52" s="237">
        <f>+AW52/$AL$55</f>
        <v>0.11643372548029436</v>
      </c>
    </row>
    <row r="53" spans="1:50" s="156" customFormat="1" ht="28.5" customHeight="1">
      <c r="A53" s="186"/>
      <c r="B53" s="152">
        <v>2961</v>
      </c>
      <c r="C53" s="155" t="s">
        <v>382</v>
      </c>
      <c r="D53" s="159" t="s">
        <v>195</v>
      </c>
      <c r="E53" s="153"/>
      <c r="F53" s="153"/>
      <c r="G53" s="153">
        <v>7502.44</v>
      </c>
      <c r="H53" s="153"/>
      <c r="I53" s="153">
        <v>1080.01</v>
      </c>
      <c r="J53" s="153">
        <v>3731.6</v>
      </c>
      <c r="K53" s="153">
        <v>4265.83</v>
      </c>
      <c r="L53" s="153">
        <v>2529.02</v>
      </c>
      <c r="M53" s="153">
        <v>21045.62</v>
      </c>
      <c r="N53" s="153">
        <v>5601.3</v>
      </c>
      <c r="O53" s="153">
        <v>16365</v>
      </c>
      <c r="P53" s="153">
        <v>2500.01</v>
      </c>
      <c r="Q53" s="153">
        <v>64620.83</v>
      </c>
      <c r="R53" s="153">
        <v>36609</v>
      </c>
      <c r="S53" s="185">
        <v>-28011.83</v>
      </c>
      <c r="T53" s="154">
        <v>-0.7651623917615887</v>
      </c>
      <c r="U53" s="155"/>
      <c r="V53" s="152">
        <v>2961</v>
      </c>
      <c r="W53" s="155" t="s">
        <v>382</v>
      </c>
      <c r="X53" s="159" t="s">
        <v>195</v>
      </c>
      <c r="Y53" s="185">
        <v>2500.01</v>
      </c>
      <c r="Z53" s="308">
        <v>5.214236182472934E-05</v>
      </c>
      <c r="AA53" s="185">
        <v>4375</v>
      </c>
      <c r="AB53" s="185">
        <v>1874.9899999999998</v>
      </c>
      <c r="AC53" s="154">
        <v>2.142845714285714</v>
      </c>
      <c r="AE53" s="152">
        <v>2961</v>
      </c>
      <c r="AF53" s="155" t="s">
        <v>382</v>
      </c>
      <c r="AG53" s="159" t="s">
        <v>195</v>
      </c>
      <c r="AH53" s="192">
        <v>64620.83</v>
      </c>
      <c r="AI53" s="158">
        <v>52500</v>
      </c>
      <c r="AJ53" s="195">
        <v>-15891</v>
      </c>
      <c r="AK53" s="158">
        <v>36609</v>
      </c>
      <c r="AL53" s="195">
        <v>-28011.83</v>
      </c>
      <c r="AM53" s="238">
        <v>-0.011899546410083667</v>
      </c>
      <c r="AP53" s="152">
        <v>2961</v>
      </c>
      <c r="AQ53" s="155" t="s">
        <v>382</v>
      </c>
      <c r="AR53" s="159" t="s">
        <v>195</v>
      </c>
      <c r="AS53" s="158">
        <f t="shared" si="4"/>
        <v>64620.83</v>
      </c>
      <c r="AT53" s="158">
        <v>52500</v>
      </c>
      <c r="AU53" s="195">
        <v>-15891</v>
      </c>
      <c r="AV53" s="158">
        <f t="shared" si="5"/>
        <v>36609</v>
      </c>
      <c r="AW53" s="158">
        <f t="shared" si="6"/>
        <v>-28011.83</v>
      </c>
      <c r="AX53" s="238">
        <f>+AW53/$AL$55</f>
        <v>-0.017620404527112735</v>
      </c>
    </row>
    <row r="54" spans="1:50" s="156" customFormat="1" ht="28.5" customHeight="1">
      <c r="A54" s="186"/>
      <c r="B54" s="173" t="s">
        <v>305</v>
      </c>
      <c r="C54" s="184" t="s">
        <v>383</v>
      </c>
      <c r="D54" s="174" t="s">
        <v>307</v>
      </c>
      <c r="E54" s="175"/>
      <c r="F54" s="175"/>
      <c r="G54" s="175">
        <v>5022</v>
      </c>
      <c r="H54" s="175">
        <v>2302</v>
      </c>
      <c r="I54" s="175"/>
      <c r="J54" s="175">
        <v>1826.01</v>
      </c>
      <c r="K54" s="175"/>
      <c r="L54" s="175"/>
      <c r="M54" s="175"/>
      <c r="N54" s="175"/>
      <c r="O54" s="175"/>
      <c r="P54" s="175"/>
      <c r="Q54" s="175">
        <v>9150.01</v>
      </c>
      <c r="R54" s="175">
        <v>10650</v>
      </c>
      <c r="S54" s="176">
        <v>1499.9899999999998</v>
      </c>
      <c r="T54" s="177">
        <v>0.14084413145539904</v>
      </c>
      <c r="U54" s="155"/>
      <c r="V54" s="173" t="s">
        <v>305</v>
      </c>
      <c r="W54" s="184" t="s">
        <v>383</v>
      </c>
      <c r="X54" s="174" t="s">
        <v>307</v>
      </c>
      <c r="Y54" s="176">
        <v>0</v>
      </c>
      <c r="Z54" s="307">
        <v>0</v>
      </c>
      <c r="AA54" s="176">
        <v>875</v>
      </c>
      <c r="AB54" s="176">
        <v>875</v>
      </c>
      <c r="AC54" s="177">
        <v>0.0009065628937073139</v>
      </c>
      <c r="AE54" s="173" t="s">
        <v>305</v>
      </c>
      <c r="AF54" s="184" t="s">
        <v>383</v>
      </c>
      <c r="AG54" s="174" t="s">
        <v>307</v>
      </c>
      <c r="AH54" s="191">
        <v>9150.01</v>
      </c>
      <c r="AI54" s="191">
        <v>10500</v>
      </c>
      <c r="AJ54" s="194">
        <v>150</v>
      </c>
      <c r="AK54" s="191">
        <v>10650</v>
      </c>
      <c r="AL54" s="191">
        <v>1499.9899999999998</v>
      </c>
      <c r="AM54" s="237">
        <v>0.0006996443460192725</v>
      </c>
      <c r="AP54" s="173" t="s">
        <v>305</v>
      </c>
      <c r="AQ54" s="184" t="s">
        <v>383</v>
      </c>
      <c r="AR54" s="174" t="s">
        <v>307</v>
      </c>
      <c r="AS54" s="191">
        <f t="shared" si="4"/>
        <v>9150.01</v>
      </c>
      <c r="AT54" s="191">
        <v>10500</v>
      </c>
      <c r="AU54" s="194">
        <v>150</v>
      </c>
      <c r="AV54" s="191">
        <f t="shared" si="5"/>
        <v>10650</v>
      </c>
      <c r="AW54" s="191">
        <f t="shared" si="6"/>
        <v>1499.9899999999998</v>
      </c>
      <c r="AX54" s="237">
        <f>+AW54/$AL$55</f>
        <v>0.0009435453016323399</v>
      </c>
    </row>
    <row r="55" spans="1:50" s="156" customFormat="1" ht="18" thickBot="1">
      <c r="A55" s="186"/>
      <c r="B55" s="178">
        <v>2000</v>
      </c>
      <c r="C55" s="183"/>
      <c r="D55" s="179" t="s">
        <v>2</v>
      </c>
      <c r="E55" s="180">
        <f aca="true" t="shared" si="8" ref="E55:M55">SUM(E31:E54)</f>
        <v>87791.81999999999</v>
      </c>
      <c r="F55" s="180">
        <f t="shared" si="8"/>
        <v>146323.28999999998</v>
      </c>
      <c r="G55" s="180">
        <f t="shared" si="8"/>
        <v>193540.37</v>
      </c>
      <c r="H55" s="180">
        <f t="shared" si="8"/>
        <v>55397.18000000001</v>
      </c>
      <c r="I55" s="180">
        <f t="shared" si="8"/>
        <v>75387.36</v>
      </c>
      <c r="J55" s="180">
        <f t="shared" si="8"/>
        <v>189890.84</v>
      </c>
      <c r="K55" s="180">
        <f t="shared" si="8"/>
        <v>113653</v>
      </c>
      <c r="L55" s="180">
        <f t="shared" si="8"/>
        <v>90795.01</v>
      </c>
      <c r="M55" s="180">
        <f t="shared" si="8"/>
        <v>164847.79</v>
      </c>
      <c r="N55" s="180">
        <v>175443.27</v>
      </c>
      <c r="O55" s="180">
        <v>162038.93000000002</v>
      </c>
      <c r="P55" s="180">
        <v>554193.95</v>
      </c>
      <c r="Q55" s="180">
        <v>2009302.8100000003</v>
      </c>
      <c r="R55" s="180">
        <v>3599039</v>
      </c>
      <c r="S55" s="180">
        <v>1589736.1899999997</v>
      </c>
      <c r="T55" s="181">
        <v>0.4417112984882908</v>
      </c>
      <c r="U55" s="241"/>
      <c r="V55" s="178">
        <v>2000</v>
      </c>
      <c r="W55" s="183"/>
      <c r="X55" s="179" t="s">
        <v>2</v>
      </c>
      <c r="Y55" s="180">
        <v>554193.95</v>
      </c>
      <c r="Z55" s="280">
        <v>0.011425329179425495</v>
      </c>
      <c r="AA55" s="180">
        <v>965184</v>
      </c>
      <c r="AB55" s="180">
        <v>410990.05</v>
      </c>
      <c r="AC55" s="181">
        <v>0.42581523315761555</v>
      </c>
      <c r="AE55" s="178">
        <v>2000</v>
      </c>
      <c r="AF55" s="183"/>
      <c r="AG55" s="179" t="s">
        <v>2</v>
      </c>
      <c r="AH55" s="242">
        <v>2009302.8100000003</v>
      </c>
      <c r="AI55" s="242">
        <v>5699537</v>
      </c>
      <c r="AJ55" s="243">
        <v>-2100496</v>
      </c>
      <c r="AK55" s="242">
        <v>3599040</v>
      </c>
      <c r="AL55" s="242">
        <v>1589738.1899999997</v>
      </c>
      <c r="AM55" s="244">
        <v>0.9999995335673262</v>
      </c>
      <c r="AP55" s="178">
        <v>2000</v>
      </c>
      <c r="AQ55" s="183"/>
      <c r="AR55" s="179" t="s">
        <v>2</v>
      </c>
      <c r="AS55" s="242">
        <f>SUM(AS31:AS54)</f>
        <v>2009302.8100000003</v>
      </c>
      <c r="AT55" s="242">
        <f>SUM(AT31:AT54)+1</f>
        <v>5699537</v>
      </c>
      <c r="AU55" s="243">
        <f>SUM(AU31:AU54)</f>
        <v>-2100496</v>
      </c>
      <c r="AV55" s="242">
        <f>SUM(AV31:AV54)</f>
        <v>3599040</v>
      </c>
      <c r="AW55" s="242">
        <f>SUM(AW31:AW54)+1</f>
        <v>1589738.1899999997</v>
      </c>
      <c r="AX55" s="244">
        <f>SUM(AX31:AX54)</f>
        <v>1.0034482407445975</v>
      </c>
    </row>
    <row r="56" spans="1:50" s="156" customFormat="1" ht="12" customHeight="1" thickTop="1">
      <c r="A56" s="186"/>
      <c r="B56" s="245"/>
      <c r="C56" s="241"/>
      <c r="D56" s="246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8"/>
      <c r="U56" s="241"/>
      <c r="V56" s="245"/>
      <c r="W56" s="241"/>
      <c r="X56" s="246"/>
      <c r="Y56" s="247"/>
      <c r="Z56" s="309"/>
      <c r="AA56" s="247"/>
      <c r="AB56" s="247"/>
      <c r="AC56" s="248"/>
      <c r="AE56" s="245"/>
      <c r="AF56" s="241"/>
      <c r="AG56" s="246"/>
      <c r="AH56" s="247"/>
      <c r="AI56" s="247"/>
      <c r="AJ56" s="247"/>
      <c r="AK56" s="247"/>
      <c r="AL56" s="247"/>
      <c r="AM56" s="249"/>
      <c r="AP56" s="245"/>
      <c r="AQ56" s="241"/>
      <c r="AR56" s="246"/>
      <c r="AS56" s="247"/>
      <c r="AT56" s="247"/>
      <c r="AU56" s="247"/>
      <c r="AV56" s="247"/>
      <c r="AW56" s="320"/>
      <c r="AX56" s="249"/>
    </row>
    <row r="57" spans="1:50" s="156" customFormat="1" ht="21" customHeight="1">
      <c r="A57" s="186"/>
      <c r="B57" s="173">
        <v>3111</v>
      </c>
      <c r="C57" s="184" t="s">
        <v>337</v>
      </c>
      <c r="D57" s="174" t="s">
        <v>196</v>
      </c>
      <c r="E57" s="175"/>
      <c r="F57" s="175">
        <v>48139</v>
      </c>
      <c r="G57" s="175">
        <v>53869</v>
      </c>
      <c r="H57" s="175">
        <v>52692</v>
      </c>
      <c r="I57" s="175">
        <v>56742</v>
      </c>
      <c r="J57" s="175">
        <v>58436</v>
      </c>
      <c r="K57" s="175">
        <v>73113</v>
      </c>
      <c r="L57" s="175">
        <v>58881</v>
      </c>
      <c r="M57" s="175">
        <v>65515</v>
      </c>
      <c r="N57" s="175">
        <v>55298</v>
      </c>
      <c r="O57" s="175">
        <v>66591</v>
      </c>
      <c r="P57" s="175">
        <v>112213</v>
      </c>
      <c r="Q57" s="190">
        <v>701489</v>
      </c>
      <c r="R57" s="190">
        <v>621459</v>
      </c>
      <c r="S57" s="176">
        <v>-80030</v>
      </c>
      <c r="T57" s="177">
        <v>-0.12877760238406716</v>
      </c>
      <c r="U57" s="155"/>
      <c r="V57" s="173">
        <v>3111</v>
      </c>
      <c r="W57" s="184" t="s">
        <v>337</v>
      </c>
      <c r="X57" s="174" t="s">
        <v>196</v>
      </c>
      <c r="Y57" s="176">
        <v>112213</v>
      </c>
      <c r="Z57" s="307">
        <v>0.0023404109773314317</v>
      </c>
      <c r="AA57" s="176">
        <v>54897</v>
      </c>
      <c r="AB57" s="176">
        <v>-57316</v>
      </c>
      <c r="AC57" s="177">
        <v>-1.0440643386706012</v>
      </c>
      <c r="AE57" s="173">
        <v>3111</v>
      </c>
      <c r="AF57" s="184" t="s">
        <v>337</v>
      </c>
      <c r="AG57" s="174" t="s">
        <v>196</v>
      </c>
      <c r="AH57" s="191">
        <v>701489</v>
      </c>
      <c r="AI57" s="191">
        <v>658757</v>
      </c>
      <c r="AJ57" s="194">
        <v>-37299</v>
      </c>
      <c r="AK57" s="191">
        <v>621458</v>
      </c>
      <c r="AL57" s="194">
        <v>-80031</v>
      </c>
      <c r="AM57" s="237">
        <v>0.0012246991663706585</v>
      </c>
      <c r="AP57" s="173">
        <v>3111</v>
      </c>
      <c r="AQ57" s="184" t="s">
        <v>337</v>
      </c>
      <c r="AR57" s="174" t="s">
        <v>196</v>
      </c>
      <c r="AS57" s="191">
        <f aca="true" t="shared" si="9" ref="AS57:AS97">+AH57</f>
        <v>701489</v>
      </c>
      <c r="AT57" s="191">
        <v>658757</v>
      </c>
      <c r="AU57" s="194">
        <v>-37299</v>
      </c>
      <c r="AV57" s="191">
        <f aca="true" t="shared" si="10" ref="AV57:AV97">SUM(AT57:AU57)</f>
        <v>621458</v>
      </c>
      <c r="AW57" s="191">
        <f aca="true" t="shared" si="11" ref="AW57:AW97">AV57-AS57</f>
        <v>-80031</v>
      </c>
      <c r="AX57" s="237">
        <f aca="true" t="shared" si="12" ref="AX57:AX86">+AW57/$AL$99</f>
        <v>-0.0038669307112927176</v>
      </c>
    </row>
    <row r="58" spans="1:50" s="156" customFormat="1" ht="21" customHeight="1">
      <c r="A58" s="186"/>
      <c r="B58" s="152">
        <v>3131</v>
      </c>
      <c r="C58" s="155" t="s">
        <v>338</v>
      </c>
      <c r="D58" s="159" t="s">
        <v>197</v>
      </c>
      <c r="E58" s="153"/>
      <c r="F58" s="153">
        <v>13131</v>
      </c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85">
        <v>13131</v>
      </c>
      <c r="R58" s="185">
        <v>21682</v>
      </c>
      <c r="S58" s="185">
        <v>8551</v>
      </c>
      <c r="T58" s="154">
        <v>0.39438243704455306</v>
      </c>
      <c r="U58" s="155"/>
      <c r="V58" s="152">
        <v>3131</v>
      </c>
      <c r="W58" s="155" t="s">
        <v>338</v>
      </c>
      <c r="X58" s="159" t="s">
        <v>197</v>
      </c>
      <c r="Y58" s="185">
        <v>0</v>
      </c>
      <c r="Z58" s="308">
        <v>0</v>
      </c>
      <c r="AA58" s="185">
        <v>2138</v>
      </c>
      <c r="AB58" s="185">
        <v>2138</v>
      </c>
      <c r="AC58" s="154">
        <v>1</v>
      </c>
      <c r="AE58" s="152">
        <v>3131</v>
      </c>
      <c r="AF58" s="155" t="s">
        <v>338</v>
      </c>
      <c r="AG58" s="159" t="s">
        <v>197</v>
      </c>
      <c r="AH58" s="157">
        <v>13131</v>
      </c>
      <c r="AI58" s="157">
        <v>25657</v>
      </c>
      <c r="AJ58" s="195">
        <v>-3974</v>
      </c>
      <c r="AK58" s="157">
        <v>21683</v>
      </c>
      <c r="AL58" s="157">
        <v>8552</v>
      </c>
      <c r="AM58" s="238">
        <v>0.00032544985615567306</v>
      </c>
      <c r="AP58" s="152">
        <v>3131</v>
      </c>
      <c r="AQ58" s="155" t="s">
        <v>338</v>
      </c>
      <c r="AR58" s="159" t="s">
        <v>197</v>
      </c>
      <c r="AS58" s="157">
        <f t="shared" si="9"/>
        <v>13131</v>
      </c>
      <c r="AT58" s="157">
        <v>25657</v>
      </c>
      <c r="AU58" s="195">
        <v>-3974</v>
      </c>
      <c r="AV58" s="157">
        <f t="shared" si="10"/>
        <v>21683</v>
      </c>
      <c r="AW58" s="157">
        <f t="shared" si="11"/>
        <v>8552</v>
      </c>
      <c r="AX58" s="238">
        <f t="shared" si="12"/>
        <v>0.0004132147723129203</v>
      </c>
    </row>
    <row r="59" spans="1:50" s="156" customFormat="1" ht="21" customHeight="1">
      <c r="A59" s="186"/>
      <c r="B59" s="173">
        <v>3141</v>
      </c>
      <c r="C59" s="184" t="s">
        <v>239</v>
      </c>
      <c r="D59" s="174" t="s">
        <v>198</v>
      </c>
      <c r="E59" s="175">
        <v>33126.44</v>
      </c>
      <c r="F59" s="175">
        <v>27014.03</v>
      </c>
      <c r="G59" s="175">
        <v>22965.54</v>
      </c>
      <c r="H59" s="175">
        <v>22551.52</v>
      </c>
      <c r="I59" s="175">
        <v>3118.22</v>
      </c>
      <c r="J59" s="175">
        <v>21743.55</v>
      </c>
      <c r="K59" s="175">
        <v>22409.97</v>
      </c>
      <c r="L59" s="175">
        <v>27572.39</v>
      </c>
      <c r="M59" s="175">
        <v>23832.16</v>
      </c>
      <c r="N59" s="175">
        <v>22576.15</v>
      </c>
      <c r="O59" s="175">
        <v>27426.46</v>
      </c>
      <c r="P59" s="175">
        <v>28388.23</v>
      </c>
      <c r="Q59" s="175">
        <v>282724.66000000003</v>
      </c>
      <c r="R59" s="175">
        <v>386854</v>
      </c>
      <c r="S59" s="176">
        <v>104129.33999999997</v>
      </c>
      <c r="T59" s="177">
        <v>0.26916960920657396</v>
      </c>
      <c r="U59" s="155"/>
      <c r="V59" s="173">
        <v>3141</v>
      </c>
      <c r="W59" s="184" t="s">
        <v>239</v>
      </c>
      <c r="X59" s="174" t="s">
        <v>198</v>
      </c>
      <c r="Y59" s="176">
        <v>28388.23</v>
      </c>
      <c r="Z59" s="307">
        <v>0.0005920893757319515</v>
      </c>
      <c r="AA59" s="176">
        <v>74271</v>
      </c>
      <c r="AB59" s="176">
        <v>45882.770000000004</v>
      </c>
      <c r="AC59" s="177">
        <v>0.6177750400560111</v>
      </c>
      <c r="AE59" s="173">
        <v>3141</v>
      </c>
      <c r="AF59" s="184" t="s">
        <v>239</v>
      </c>
      <c r="AG59" s="174" t="s">
        <v>198</v>
      </c>
      <c r="AH59" s="191">
        <v>282724.66000000003</v>
      </c>
      <c r="AI59" s="191">
        <v>510157</v>
      </c>
      <c r="AJ59" s="194">
        <v>-123303</v>
      </c>
      <c r="AK59" s="191">
        <v>386854</v>
      </c>
      <c r="AL59" s="191">
        <v>104129.33999999997</v>
      </c>
      <c r="AM59" s="237">
        <v>0.005043010301052307</v>
      </c>
      <c r="AP59" s="173">
        <v>3141</v>
      </c>
      <c r="AQ59" s="184" t="s">
        <v>239</v>
      </c>
      <c r="AR59" s="174" t="s">
        <v>198</v>
      </c>
      <c r="AS59" s="191">
        <f t="shared" si="9"/>
        <v>282724.66000000003</v>
      </c>
      <c r="AT59" s="191">
        <v>510157</v>
      </c>
      <c r="AU59" s="194">
        <v>-123303</v>
      </c>
      <c r="AV59" s="191">
        <f t="shared" si="10"/>
        <v>386854</v>
      </c>
      <c r="AW59" s="191">
        <f t="shared" si="11"/>
        <v>104129.33999999997</v>
      </c>
      <c r="AX59" s="237">
        <f t="shared" si="12"/>
        <v>0.0050313121514493275</v>
      </c>
    </row>
    <row r="60" spans="1:50" s="156" customFormat="1" ht="21" customHeight="1">
      <c r="A60" s="186"/>
      <c r="B60" s="152">
        <v>3151</v>
      </c>
      <c r="C60" s="155" t="s">
        <v>240</v>
      </c>
      <c r="D60" s="159" t="s">
        <v>199</v>
      </c>
      <c r="E60" s="185">
        <v>-2921</v>
      </c>
      <c r="F60" s="153">
        <v>76234</v>
      </c>
      <c r="G60" s="153">
        <f>71845.08-665</f>
        <v>71180.08</v>
      </c>
      <c r="H60" s="153">
        <v>74096.05</v>
      </c>
      <c r="I60" s="153">
        <v>68767</v>
      </c>
      <c r="J60" s="153">
        <v>67511</v>
      </c>
      <c r="K60" s="153">
        <v>77461</v>
      </c>
      <c r="L60" s="153">
        <v>71490</v>
      </c>
      <c r="M60" s="153">
        <v>74036</v>
      </c>
      <c r="N60" s="153">
        <v>71569.78</v>
      </c>
      <c r="O60" s="153">
        <v>65006</v>
      </c>
      <c r="P60" s="153">
        <v>139511</v>
      </c>
      <c r="Q60" s="185">
        <v>853940.91</v>
      </c>
      <c r="R60" s="185">
        <v>1085711</v>
      </c>
      <c r="S60" s="185">
        <v>231770.08999999997</v>
      </c>
      <c r="T60" s="154">
        <v>0.2134730973527946</v>
      </c>
      <c r="U60" s="155"/>
      <c r="V60" s="152">
        <v>3151</v>
      </c>
      <c r="W60" s="155" t="s">
        <v>240</v>
      </c>
      <c r="X60" s="159" t="s">
        <v>199</v>
      </c>
      <c r="Y60" s="185">
        <v>139511</v>
      </c>
      <c r="Z60" s="308">
        <v>0.0029097615771656172</v>
      </c>
      <c r="AA60" s="185">
        <v>176572</v>
      </c>
      <c r="AB60" s="185">
        <v>37061</v>
      </c>
      <c r="AC60" s="154">
        <v>0.20989171556079106</v>
      </c>
      <c r="AE60" s="152">
        <v>3151</v>
      </c>
      <c r="AF60" s="155" t="s">
        <v>240</v>
      </c>
      <c r="AG60" s="159" t="s">
        <v>199</v>
      </c>
      <c r="AH60" s="157">
        <v>853940.91</v>
      </c>
      <c r="AI60" s="157">
        <v>1422133</v>
      </c>
      <c r="AJ60" s="195">
        <v>-336421</v>
      </c>
      <c r="AK60" s="157">
        <v>1085712</v>
      </c>
      <c r="AL60" s="157">
        <v>231771.08999999997</v>
      </c>
      <c r="AM60" s="238">
        <v>0.014129291719326198</v>
      </c>
      <c r="AP60" s="152">
        <v>3151</v>
      </c>
      <c r="AQ60" s="155" t="s">
        <v>240</v>
      </c>
      <c r="AR60" s="159" t="s">
        <v>199</v>
      </c>
      <c r="AS60" s="157">
        <f t="shared" si="9"/>
        <v>853940.91</v>
      </c>
      <c r="AT60" s="157">
        <v>1422133</v>
      </c>
      <c r="AU60" s="195">
        <v>-336421</v>
      </c>
      <c r="AV60" s="157">
        <f t="shared" si="10"/>
        <v>1085712</v>
      </c>
      <c r="AW60" s="157">
        <f t="shared" si="11"/>
        <v>231771.08999999997</v>
      </c>
      <c r="AX60" s="238">
        <f t="shared" si="12"/>
        <v>0.01119869482963837</v>
      </c>
    </row>
    <row r="61" spans="1:50" s="156" customFormat="1" ht="23.25" customHeight="1">
      <c r="A61" s="186"/>
      <c r="B61" s="173" t="s">
        <v>264</v>
      </c>
      <c r="C61" s="275" t="s">
        <v>378</v>
      </c>
      <c r="D61" s="174" t="s">
        <v>288</v>
      </c>
      <c r="E61" s="175">
        <v>1654</v>
      </c>
      <c r="F61" s="175">
        <v>22592</v>
      </c>
      <c r="G61" s="175">
        <v>45332.71</v>
      </c>
      <c r="H61" s="175">
        <v>43472</v>
      </c>
      <c r="I61" s="175">
        <v>43472</v>
      </c>
      <c r="J61" s="175">
        <v>43473</v>
      </c>
      <c r="K61" s="175">
        <v>43472</v>
      </c>
      <c r="L61" s="175">
        <v>43472</v>
      </c>
      <c r="M61" s="175">
        <v>43472</v>
      </c>
      <c r="N61" s="175">
        <v>43473</v>
      </c>
      <c r="O61" s="175">
        <v>43472</v>
      </c>
      <c r="P61" s="175">
        <v>64445</v>
      </c>
      <c r="Q61" s="175">
        <v>481801.70999999996</v>
      </c>
      <c r="R61" s="175">
        <v>475938</v>
      </c>
      <c r="S61" s="176">
        <v>-5863.709999999963</v>
      </c>
      <c r="T61" s="177">
        <v>-0.01232032323537932</v>
      </c>
      <c r="U61" s="155"/>
      <c r="V61" s="173" t="s">
        <v>264</v>
      </c>
      <c r="W61" s="275" t="s">
        <v>378</v>
      </c>
      <c r="X61" s="174" t="s">
        <v>288</v>
      </c>
      <c r="Y61" s="176">
        <v>64445</v>
      </c>
      <c r="Z61" s="307">
        <v>0.0013441204266361664</v>
      </c>
      <c r="AA61" s="176">
        <v>47250</v>
      </c>
      <c r="AB61" s="176">
        <v>-17195</v>
      </c>
      <c r="AC61" s="177">
        <v>-0.3639153439153439</v>
      </c>
      <c r="AE61" s="173" t="s">
        <v>264</v>
      </c>
      <c r="AF61" s="275" t="s">
        <v>378</v>
      </c>
      <c r="AG61" s="174" t="s">
        <v>288</v>
      </c>
      <c r="AH61" s="191">
        <v>481801.70999999996</v>
      </c>
      <c r="AI61" s="191">
        <v>574532</v>
      </c>
      <c r="AJ61" s="194">
        <v>-98592</v>
      </c>
      <c r="AK61" s="191">
        <v>475940</v>
      </c>
      <c r="AL61" s="194">
        <v>-5861.709999999963</v>
      </c>
      <c r="AM61" s="237">
        <v>0.002229411050470778</v>
      </c>
      <c r="AP61" s="173" t="s">
        <v>264</v>
      </c>
      <c r="AQ61" s="275" t="s">
        <v>378</v>
      </c>
      <c r="AR61" s="174" t="s">
        <v>288</v>
      </c>
      <c r="AS61" s="191">
        <f t="shared" si="9"/>
        <v>481801.70999999996</v>
      </c>
      <c r="AT61" s="191">
        <v>574532</v>
      </c>
      <c r="AU61" s="194">
        <v>-98592</v>
      </c>
      <c r="AV61" s="191">
        <f t="shared" si="10"/>
        <v>475940</v>
      </c>
      <c r="AW61" s="191">
        <f t="shared" si="11"/>
        <v>-5861.709999999963</v>
      </c>
      <c r="AX61" s="237">
        <f t="shared" si="12"/>
        <v>-0.00028322558033376435</v>
      </c>
    </row>
    <row r="62" spans="1:50" s="156" customFormat="1" ht="30" customHeight="1">
      <c r="A62" s="186"/>
      <c r="B62" s="152" t="s">
        <v>369</v>
      </c>
      <c r="C62" s="276" t="s">
        <v>379</v>
      </c>
      <c r="D62" s="159" t="s">
        <v>361</v>
      </c>
      <c r="E62" s="185">
        <v>208585</v>
      </c>
      <c r="F62" s="153">
        <v>208784.62</v>
      </c>
      <c r="G62" s="153">
        <v>72222.75</v>
      </c>
      <c r="H62" s="153">
        <v>72422.75</v>
      </c>
      <c r="I62" s="153">
        <v>72222.75</v>
      </c>
      <c r="J62" s="153">
        <v>72222.75</v>
      </c>
      <c r="K62" s="153">
        <v>72222.75</v>
      </c>
      <c r="L62" s="153">
        <v>72222.75</v>
      </c>
      <c r="M62" s="153">
        <v>72422.75</v>
      </c>
      <c r="N62" s="153">
        <v>2159</v>
      </c>
      <c r="O62" s="153">
        <v>144293.74</v>
      </c>
      <c r="P62" s="153">
        <v>73812.87</v>
      </c>
      <c r="Q62" s="153">
        <v>1143594.48</v>
      </c>
      <c r="R62" s="153">
        <v>2835678</v>
      </c>
      <c r="S62" s="185">
        <v>1692083.52</v>
      </c>
      <c r="T62" s="154">
        <v>0.59671215137967</v>
      </c>
      <c r="U62" s="155"/>
      <c r="V62" s="152" t="s">
        <v>369</v>
      </c>
      <c r="W62" s="276" t="s">
        <v>379</v>
      </c>
      <c r="X62" s="159" t="s">
        <v>361</v>
      </c>
      <c r="Y62" s="185">
        <v>73812.87</v>
      </c>
      <c r="Z62" s="308">
        <v>0.001539504791925516</v>
      </c>
      <c r="AA62" s="185">
        <v>166693</v>
      </c>
      <c r="AB62" s="185">
        <v>92880.13</v>
      </c>
      <c r="AC62" s="154">
        <v>0.5571927435465197</v>
      </c>
      <c r="AE62" s="152" t="s">
        <v>369</v>
      </c>
      <c r="AF62" s="276" t="s">
        <v>379</v>
      </c>
      <c r="AG62" s="159" t="s">
        <v>361</v>
      </c>
      <c r="AH62" s="158">
        <v>1143594.48</v>
      </c>
      <c r="AI62" s="158">
        <v>3370316</v>
      </c>
      <c r="AJ62" s="195">
        <v>-534638</v>
      </c>
      <c r="AK62" s="158">
        <v>2835678</v>
      </c>
      <c r="AL62" s="158">
        <v>1692083.52</v>
      </c>
      <c r="AM62" s="238">
        <v>0.06720190904014527</v>
      </c>
      <c r="AP62" s="152" t="s">
        <v>369</v>
      </c>
      <c r="AQ62" s="276" t="s">
        <v>379</v>
      </c>
      <c r="AR62" s="159" t="s">
        <v>361</v>
      </c>
      <c r="AS62" s="158">
        <f t="shared" si="9"/>
        <v>1143594.48</v>
      </c>
      <c r="AT62" s="158">
        <v>3370316</v>
      </c>
      <c r="AU62" s="195">
        <v>-534638</v>
      </c>
      <c r="AV62" s="158">
        <f t="shared" si="10"/>
        <v>2835678</v>
      </c>
      <c r="AW62" s="158">
        <f t="shared" si="11"/>
        <v>1692083.52</v>
      </c>
      <c r="AX62" s="238">
        <f t="shared" si="12"/>
        <v>0.08175794041759175</v>
      </c>
    </row>
    <row r="63" spans="1:50" s="156" customFormat="1" ht="23.25" customHeight="1">
      <c r="A63" s="186"/>
      <c r="B63" s="173">
        <v>3221</v>
      </c>
      <c r="C63" s="184" t="s">
        <v>241</v>
      </c>
      <c r="D63" s="174" t="s">
        <v>200</v>
      </c>
      <c r="E63" s="175">
        <v>132095.12</v>
      </c>
      <c r="F63" s="175">
        <v>132095.12</v>
      </c>
      <c r="G63" s="175">
        <v>429645.29</v>
      </c>
      <c r="H63" s="175">
        <v>429645.29</v>
      </c>
      <c r="I63" s="175">
        <v>132095</v>
      </c>
      <c r="J63" s="175">
        <v>132095.12</v>
      </c>
      <c r="K63" s="175">
        <v>132095</v>
      </c>
      <c r="L63" s="175">
        <v>1026124.28</v>
      </c>
      <c r="M63" s="175">
        <v>1325578.5</v>
      </c>
      <c r="N63" s="175">
        <v>430586.34</v>
      </c>
      <c r="O63" s="175">
        <v>430586.34</v>
      </c>
      <c r="P63" s="175">
        <v>880027.75</v>
      </c>
      <c r="Q63" s="175">
        <v>5612669.149999999</v>
      </c>
      <c r="R63" s="175">
        <v>6605853</v>
      </c>
      <c r="S63" s="176">
        <v>993183.8500000006</v>
      </c>
      <c r="T63" s="177">
        <v>0.15034906922694172</v>
      </c>
      <c r="U63" s="155"/>
      <c r="V63" s="173">
        <v>3221</v>
      </c>
      <c r="W63" s="184" t="s">
        <v>241</v>
      </c>
      <c r="X63" s="174" t="s">
        <v>200</v>
      </c>
      <c r="Y63" s="176">
        <v>880027.75</v>
      </c>
      <c r="Z63" s="307">
        <v>0.018354616724054085</v>
      </c>
      <c r="AA63" s="176">
        <v>2357948</v>
      </c>
      <c r="AB63" s="176">
        <v>1477920.25</v>
      </c>
      <c r="AC63" s="177">
        <v>0.6267823760320415</v>
      </c>
      <c r="AE63" s="173">
        <v>3221</v>
      </c>
      <c r="AF63" s="184" t="s">
        <v>241</v>
      </c>
      <c r="AG63" s="174" t="s">
        <v>200</v>
      </c>
      <c r="AH63" s="191">
        <v>5612669.149999999</v>
      </c>
      <c r="AI63" s="191">
        <v>11084039</v>
      </c>
      <c r="AJ63" s="194">
        <v>-4478186</v>
      </c>
      <c r="AK63" s="191">
        <v>6605853</v>
      </c>
      <c r="AL63" s="195">
        <v>993183.8500000006</v>
      </c>
      <c r="AM63" s="237">
        <v>0.0712858332283838</v>
      </c>
      <c r="AP63" s="173">
        <v>3221</v>
      </c>
      <c r="AQ63" s="184" t="s">
        <v>241</v>
      </c>
      <c r="AR63" s="174" t="s">
        <v>200</v>
      </c>
      <c r="AS63" s="191">
        <f t="shared" si="9"/>
        <v>5612669.149999999</v>
      </c>
      <c r="AT63" s="191">
        <v>11084039</v>
      </c>
      <c r="AU63" s="194">
        <v>-4478186</v>
      </c>
      <c r="AV63" s="191">
        <f t="shared" si="10"/>
        <v>6605853</v>
      </c>
      <c r="AW63" s="191">
        <f t="shared" si="11"/>
        <v>993183.8500000006</v>
      </c>
      <c r="AX63" s="237">
        <f t="shared" si="12"/>
        <v>0.047988568573739454</v>
      </c>
    </row>
    <row r="64" spans="1:50" s="156" customFormat="1" ht="23.25" customHeight="1">
      <c r="A64" s="186"/>
      <c r="B64" s="152">
        <v>3231</v>
      </c>
      <c r="C64" s="155" t="s">
        <v>242</v>
      </c>
      <c r="D64" s="159" t="s">
        <v>201</v>
      </c>
      <c r="E64" s="153">
        <v>2736.42</v>
      </c>
      <c r="F64" s="153">
        <v>5331.08</v>
      </c>
      <c r="G64" s="153">
        <v>7334.01</v>
      </c>
      <c r="H64" s="153"/>
      <c r="I64" s="153">
        <v>7720.96</v>
      </c>
      <c r="J64" s="153">
        <v>7498.38</v>
      </c>
      <c r="K64" s="153">
        <v>12232.97</v>
      </c>
      <c r="L64" s="153">
        <v>9089.62</v>
      </c>
      <c r="M64" s="153">
        <v>8754.82</v>
      </c>
      <c r="N64" s="153">
        <v>11898.12</v>
      </c>
      <c r="O64" s="153">
        <v>10367.8</v>
      </c>
      <c r="P64" s="153">
        <v>12213.9</v>
      </c>
      <c r="Q64" s="153">
        <v>95178.08</v>
      </c>
      <c r="R64" s="153">
        <v>86752</v>
      </c>
      <c r="S64" s="185">
        <v>-8426.080000000002</v>
      </c>
      <c r="T64" s="154">
        <v>-0.09712836591663594</v>
      </c>
      <c r="U64" s="155"/>
      <c r="V64" s="152">
        <v>3231</v>
      </c>
      <c r="W64" s="155" t="s">
        <v>242</v>
      </c>
      <c r="X64" s="159" t="s">
        <v>201</v>
      </c>
      <c r="Y64" s="185">
        <v>12213.9</v>
      </c>
      <c r="Z64" s="308">
        <v>0.0002547436182619516</v>
      </c>
      <c r="AA64" s="185">
        <v>8704</v>
      </c>
      <c r="AB64" s="185">
        <v>-3509.8999999999996</v>
      </c>
      <c r="AC64" s="154">
        <v>-0.40325137867647054</v>
      </c>
      <c r="AE64" s="152">
        <v>3231</v>
      </c>
      <c r="AF64" s="155" t="s">
        <v>242</v>
      </c>
      <c r="AG64" s="159" t="s">
        <v>201</v>
      </c>
      <c r="AH64" s="158">
        <v>95178.08</v>
      </c>
      <c r="AI64" s="158">
        <v>104426</v>
      </c>
      <c r="AJ64" s="195">
        <v>-17674</v>
      </c>
      <c r="AK64" s="158">
        <v>86752</v>
      </c>
      <c r="AL64" s="195">
        <v>-8426.080000000002</v>
      </c>
      <c r="AM64" s="238">
        <v>0.00014414703860425387</v>
      </c>
      <c r="AP64" s="152">
        <v>3231</v>
      </c>
      <c r="AQ64" s="155" t="s">
        <v>242</v>
      </c>
      <c r="AR64" s="159" t="s">
        <v>201</v>
      </c>
      <c r="AS64" s="158">
        <f t="shared" si="9"/>
        <v>95178.08</v>
      </c>
      <c r="AT64" s="158">
        <v>104426</v>
      </c>
      <c r="AU64" s="195">
        <v>-17674</v>
      </c>
      <c r="AV64" s="158">
        <f t="shared" si="10"/>
        <v>86752</v>
      </c>
      <c r="AW64" s="158">
        <f t="shared" si="11"/>
        <v>-8426.080000000002</v>
      </c>
      <c r="AX64" s="238">
        <f t="shared" si="12"/>
        <v>-0.00040713058099748034</v>
      </c>
    </row>
    <row r="65" spans="1:50" s="156" customFormat="1" ht="23.25" customHeight="1">
      <c r="A65" s="186"/>
      <c r="B65" s="173">
        <v>3251</v>
      </c>
      <c r="C65" s="184" t="s">
        <v>339</v>
      </c>
      <c r="D65" s="174" t="s">
        <v>202</v>
      </c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90">
        <v>0</v>
      </c>
      <c r="R65" s="190">
        <v>0</v>
      </c>
      <c r="S65" s="176">
        <v>0</v>
      </c>
      <c r="T65" s="177"/>
      <c r="U65" s="155"/>
      <c r="V65" s="173">
        <v>3251</v>
      </c>
      <c r="W65" s="184" t="s">
        <v>339</v>
      </c>
      <c r="X65" s="174" t="s">
        <v>202</v>
      </c>
      <c r="Y65" s="176">
        <v>0</v>
      </c>
      <c r="Z65" s="307">
        <v>0</v>
      </c>
      <c r="AA65" s="176">
        <v>0</v>
      </c>
      <c r="AB65" s="176">
        <v>0</v>
      </c>
      <c r="AC65" s="177"/>
      <c r="AE65" s="173">
        <v>3251</v>
      </c>
      <c r="AF65" s="184" t="s">
        <v>339</v>
      </c>
      <c r="AG65" s="174" t="s">
        <v>202</v>
      </c>
      <c r="AH65" s="191">
        <v>0</v>
      </c>
      <c r="AI65" s="191"/>
      <c r="AJ65" s="194">
        <v>0</v>
      </c>
      <c r="AK65" s="191">
        <v>0</v>
      </c>
      <c r="AL65" s="191">
        <v>0</v>
      </c>
      <c r="AM65" s="237">
        <v>0</v>
      </c>
      <c r="AP65" s="173">
        <v>3251</v>
      </c>
      <c r="AQ65" s="184" t="s">
        <v>339</v>
      </c>
      <c r="AR65" s="174" t="s">
        <v>202</v>
      </c>
      <c r="AS65" s="191">
        <f t="shared" si="9"/>
        <v>0</v>
      </c>
      <c r="AT65" s="191"/>
      <c r="AU65" s="194">
        <v>0</v>
      </c>
      <c r="AV65" s="191">
        <f t="shared" si="10"/>
        <v>0</v>
      </c>
      <c r="AW65" s="191">
        <f t="shared" si="11"/>
        <v>0</v>
      </c>
      <c r="AX65" s="237">
        <f t="shared" si="12"/>
        <v>0</v>
      </c>
    </row>
    <row r="66" spans="1:50" s="156" customFormat="1" ht="18.75" customHeight="1">
      <c r="A66" s="186"/>
      <c r="B66" s="152" t="s">
        <v>310</v>
      </c>
      <c r="C66" s="155" t="s">
        <v>340</v>
      </c>
      <c r="D66" s="159" t="s">
        <v>311</v>
      </c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85">
        <v>0</v>
      </c>
      <c r="R66" s="185">
        <v>2100</v>
      </c>
      <c r="S66" s="185">
        <v>2100</v>
      </c>
      <c r="T66" s="154">
        <v>1</v>
      </c>
      <c r="U66" s="155"/>
      <c r="V66" s="152" t="s">
        <v>310</v>
      </c>
      <c r="W66" s="155" t="s">
        <v>340</v>
      </c>
      <c r="X66" s="159" t="s">
        <v>311</v>
      </c>
      <c r="Y66" s="185">
        <v>0</v>
      </c>
      <c r="Z66" s="308">
        <v>0</v>
      </c>
      <c r="AA66" s="185">
        <v>525</v>
      </c>
      <c r="AB66" s="185">
        <v>525</v>
      </c>
      <c r="AC66" s="154">
        <v>1</v>
      </c>
      <c r="AE66" s="152" t="s">
        <v>310</v>
      </c>
      <c r="AF66" s="155" t="s">
        <v>340</v>
      </c>
      <c r="AG66" s="159" t="s">
        <v>311</v>
      </c>
      <c r="AH66" s="158">
        <v>0</v>
      </c>
      <c r="AI66" s="158">
        <v>6300</v>
      </c>
      <c r="AJ66" s="195">
        <v>-4200</v>
      </c>
      <c r="AK66" s="158">
        <v>2100</v>
      </c>
      <c r="AL66" s="158">
        <v>2100</v>
      </c>
      <c r="AM66" s="238">
        <v>7.991635850408248E-05</v>
      </c>
      <c r="AP66" s="152" t="s">
        <v>310</v>
      </c>
      <c r="AQ66" s="155" t="s">
        <v>340</v>
      </c>
      <c r="AR66" s="159" t="s">
        <v>311</v>
      </c>
      <c r="AS66" s="158">
        <f t="shared" si="9"/>
        <v>0</v>
      </c>
      <c r="AT66" s="158">
        <v>6300</v>
      </c>
      <c r="AU66" s="195">
        <v>-4200</v>
      </c>
      <c r="AV66" s="158">
        <f t="shared" si="10"/>
        <v>2100</v>
      </c>
      <c r="AW66" s="158">
        <f t="shared" si="11"/>
        <v>2100</v>
      </c>
      <c r="AX66" s="238">
        <f t="shared" si="12"/>
        <v>0.0001014676124716011</v>
      </c>
    </row>
    <row r="67" spans="1:50" s="156" customFormat="1" ht="36" customHeight="1">
      <c r="A67" s="186"/>
      <c r="B67" s="173">
        <v>3311</v>
      </c>
      <c r="C67" s="184" t="s">
        <v>341</v>
      </c>
      <c r="D67" s="174" t="s">
        <v>374</v>
      </c>
      <c r="E67" s="175"/>
      <c r="F67" s="175"/>
      <c r="G67" s="175">
        <v>14645</v>
      </c>
      <c r="H67" s="175">
        <v>638</v>
      </c>
      <c r="I67" s="175">
        <v>12228.72</v>
      </c>
      <c r="J67" s="175"/>
      <c r="K67" s="175">
        <v>29696</v>
      </c>
      <c r="L67" s="175"/>
      <c r="M67" s="175"/>
      <c r="N67" s="175"/>
      <c r="O67" s="175"/>
      <c r="P67" s="175"/>
      <c r="Q67" s="190">
        <v>57207.72</v>
      </c>
      <c r="R67" s="190">
        <v>60358</v>
      </c>
      <c r="S67" s="176">
        <v>3150.279999999999</v>
      </c>
      <c r="T67" s="177">
        <v>0.05219324695980647</v>
      </c>
      <c r="U67" s="155"/>
      <c r="V67" s="173">
        <v>3311</v>
      </c>
      <c r="W67" s="184" t="s">
        <v>341</v>
      </c>
      <c r="X67" s="174" t="s">
        <v>374</v>
      </c>
      <c r="Y67" s="176">
        <v>0</v>
      </c>
      <c r="Z67" s="307">
        <v>0</v>
      </c>
      <c r="AA67" s="176">
        <v>13287</v>
      </c>
      <c r="AB67" s="176">
        <v>13287</v>
      </c>
      <c r="AC67" s="177">
        <v>1</v>
      </c>
      <c r="AE67" s="173">
        <v>3311</v>
      </c>
      <c r="AF67" s="184" t="s">
        <v>341</v>
      </c>
      <c r="AG67" s="174" t="s">
        <v>374</v>
      </c>
      <c r="AH67" s="191">
        <v>57207.72</v>
      </c>
      <c r="AI67" s="191">
        <v>1134450</v>
      </c>
      <c r="AJ67" s="194">
        <v>-1074092</v>
      </c>
      <c r="AK67" s="191">
        <v>60358</v>
      </c>
      <c r="AL67" s="194">
        <v>3150.279999999999</v>
      </c>
      <c r="AM67" s="237">
        <v>0.00011988519327059089</v>
      </c>
      <c r="AP67" s="173">
        <v>3311</v>
      </c>
      <c r="AQ67" s="184" t="s">
        <v>341</v>
      </c>
      <c r="AR67" s="174" t="s">
        <v>374</v>
      </c>
      <c r="AS67" s="191">
        <f t="shared" si="9"/>
        <v>57207.72</v>
      </c>
      <c r="AT67" s="191">
        <v>1134450</v>
      </c>
      <c r="AU67" s="194">
        <v>-1074092</v>
      </c>
      <c r="AV67" s="191">
        <f t="shared" si="10"/>
        <v>60358</v>
      </c>
      <c r="AW67" s="191">
        <f t="shared" si="11"/>
        <v>3150.279999999999</v>
      </c>
      <c r="AX67" s="237">
        <f t="shared" si="12"/>
        <v>0.0001522149477223978</v>
      </c>
    </row>
    <row r="68" spans="1:50" s="156" customFormat="1" ht="30" customHeight="1">
      <c r="A68" s="186"/>
      <c r="B68" s="152">
        <v>3331</v>
      </c>
      <c r="C68" s="155" t="s">
        <v>342</v>
      </c>
      <c r="D68" s="159" t="s">
        <v>375</v>
      </c>
      <c r="E68" s="153"/>
      <c r="F68" s="153"/>
      <c r="G68" s="153"/>
      <c r="H68" s="153"/>
      <c r="I68" s="153"/>
      <c r="J68" s="153"/>
      <c r="K68" s="153"/>
      <c r="L68" s="153"/>
      <c r="M68" s="153">
        <v>152000</v>
      </c>
      <c r="N68" s="153"/>
      <c r="O68" s="153"/>
      <c r="P68" s="153"/>
      <c r="Q68" s="185">
        <v>152000</v>
      </c>
      <c r="R68" s="185">
        <v>125000</v>
      </c>
      <c r="S68" s="185">
        <v>-27000</v>
      </c>
      <c r="T68" s="154">
        <v>-0.216</v>
      </c>
      <c r="U68" s="155"/>
      <c r="V68" s="152">
        <v>3331</v>
      </c>
      <c r="W68" s="155" t="s">
        <v>342</v>
      </c>
      <c r="X68" s="159" t="s">
        <v>375</v>
      </c>
      <c r="Y68" s="185">
        <v>0</v>
      </c>
      <c r="Z68" s="308">
        <v>0</v>
      </c>
      <c r="AA68" s="185">
        <v>0</v>
      </c>
      <c r="AB68" s="185">
        <v>0</v>
      </c>
      <c r="AC68" s="154"/>
      <c r="AE68" s="152">
        <v>3331</v>
      </c>
      <c r="AF68" s="155" t="s">
        <v>342</v>
      </c>
      <c r="AG68" s="159" t="s">
        <v>375</v>
      </c>
      <c r="AH68" s="158">
        <v>152000</v>
      </c>
      <c r="AI68" s="158">
        <v>215000</v>
      </c>
      <c r="AJ68" s="195">
        <v>-90000</v>
      </c>
      <c r="AK68" s="158">
        <v>125000</v>
      </c>
      <c r="AL68" s="195">
        <v>-27000</v>
      </c>
      <c r="AM68" s="238">
        <v>-0.001027496037909632</v>
      </c>
      <c r="AP68" s="152">
        <v>3331</v>
      </c>
      <c r="AQ68" s="155" t="s">
        <v>342</v>
      </c>
      <c r="AR68" s="159" t="s">
        <v>375</v>
      </c>
      <c r="AS68" s="158">
        <f t="shared" si="9"/>
        <v>152000</v>
      </c>
      <c r="AT68" s="158">
        <v>215000</v>
      </c>
      <c r="AU68" s="195">
        <v>-90000</v>
      </c>
      <c r="AV68" s="158">
        <f t="shared" si="10"/>
        <v>125000</v>
      </c>
      <c r="AW68" s="158">
        <f t="shared" si="11"/>
        <v>-27000</v>
      </c>
      <c r="AX68" s="238">
        <f t="shared" si="12"/>
        <v>-0.0013045835889205855</v>
      </c>
    </row>
    <row r="69" spans="1:50" s="156" customFormat="1" ht="28.5" customHeight="1">
      <c r="A69" s="186"/>
      <c r="B69" s="173">
        <v>3342</v>
      </c>
      <c r="C69" s="184" t="s">
        <v>243</v>
      </c>
      <c r="D69" s="174" t="s">
        <v>203</v>
      </c>
      <c r="E69" s="175"/>
      <c r="F69" s="175">
        <v>3480</v>
      </c>
      <c r="G69" s="175"/>
      <c r="H69" s="175"/>
      <c r="I69" s="175"/>
      <c r="J69" s="175">
        <v>14155</v>
      </c>
      <c r="K69" s="175"/>
      <c r="L69" s="175"/>
      <c r="M69" s="175">
        <v>0</v>
      </c>
      <c r="N69" s="175"/>
      <c r="O69" s="175"/>
      <c r="P69" s="175"/>
      <c r="Q69" s="190">
        <v>17635</v>
      </c>
      <c r="R69" s="190">
        <v>1057068</v>
      </c>
      <c r="S69" s="176">
        <v>1039433</v>
      </c>
      <c r="T69" s="177">
        <v>0.9833170619108704</v>
      </c>
      <c r="U69" s="155"/>
      <c r="V69" s="173">
        <v>3342</v>
      </c>
      <c r="W69" s="184" t="s">
        <v>243</v>
      </c>
      <c r="X69" s="174" t="s">
        <v>203</v>
      </c>
      <c r="Y69" s="176">
        <v>0</v>
      </c>
      <c r="Z69" s="307">
        <v>0</v>
      </c>
      <c r="AA69" s="176">
        <v>84840</v>
      </c>
      <c r="AB69" s="176">
        <v>84840</v>
      </c>
      <c r="AC69" s="177">
        <v>1</v>
      </c>
      <c r="AE69" s="173">
        <v>3342</v>
      </c>
      <c r="AF69" s="184" t="s">
        <v>243</v>
      </c>
      <c r="AG69" s="174" t="s">
        <v>203</v>
      </c>
      <c r="AH69" s="191">
        <v>17635</v>
      </c>
      <c r="AI69" s="191">
        <v>1476100</v>
      </c>
      <c r="AJ69" s="194">
        <v>-419032</v>
      </c>
      <c r="AK69" s="191">
        <v>1057068</v>
      </c>
      <c r="AL69" s="191">
        <v>1039433</v>
      </c>
      <c r="AM69" s="237">
        <v>0.03955604774713046</v>
      </c>
      <c r="AP69" s="173">
        <v>3342</v>
      </c>
      <c r="AQ69" s="184" t="s">
        <v>243</v>
      </c>
      <c r="AR69" s="174" t="s">
        <v>203</v>
      </c>
      <c r="AS69" s="191">
        <f t="shared" si="9"/>
        <v>17635</v>
      </c>
      <c r="AT69" s="191">
        <v>1476100</v>
      </c>
      <c r="AU69" s="194">
        <v>-419032</v>
      </c>
      <c r="AV69" s="191">
        <f t="shared" si="10"/>
        <v>1057068</v>
      </c>
      <c r="AW69" s="191">
        <f t="shared" si="11"/>
        <v>1039433</v>
      </c>
      <c r="AX69" s="237">
        <f t="shared" si="12"/>
        <v>0.05022323087342559</v>
      </c>
    </row>
    <row r="70" spans="1:50" s="156" customFormat="1" ht="30.75" customHeight="1">
      <c r="A70" s="186"/>
      <c r="B70" s="152" t="s">
        <v>308</v>
      </c>
      <c r="C70" s="155" t="s">
        <v>342</v>
      </c>
      <c r="D70" s="271" t="s">
        <v>309</v>
      </c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85">
        <v>0</v>
      </c>
      <c r="R70" s="185">
        <v>0</v>
      </c>
      <c r="S70" s="185">
        <v>0</v>
      </c>
      <c r="T70" s="154"/>
      <c r="U70" s="155"/>
      <c r="V70" s="152" t="s">
        <v>308</v>
      </c>
      <c r="W70" s="155" t="s">
        <v>342</v>
      </c>
      <c r="X70" s="271" t="s">
        <v>309</v>
      </c>
      <c r="Y70" s="185">
        <v>0</v>
      </c>
      <c r="Z70" s="308">
        <v>0</v>
      </c>
      <c r="AA70" s="185">
        <v>25000</v>
      </c>
      <c r="AB70" s="185">
        <v>25000</v>
      </c>
      <c r="AC70" s="154"/>
      <c r="AE70" s="152" t="s">
        <v>308</v>
      </c>
      <c r="AF70" s="155" t="s">
        <v>342</v>
      </c>
      <c r="AG70" s="271" t="s">
        <v>309</v>
      </c>
      <c r="AH70" s="157">
        <v>0</v>
      </c>
      <c r="AI70" s="157">
        <v>50000</v>
      </c>
      <c r="AJ70" s="195">
        <v>-50000</v>
      </c>
      <c r="AK70" s="157">
        <v>0</v>
      </c>
      <c r="AL70" s="157">
        <v>0</v>
      </c>
      <c r="AM70" s="238">
        <v>0</v>
      </c>
      <c r="AP70" s="152" t="s">
        <v>308</v>
      </c>
      <c r="AQ70" s="155" t="s">
        <v>342</v>
      </c>
      <c r="AR70" s="271" t="s">
        <v>309</v>
      </c>
      <c r="AS70" s="157">
        <f t="shared" si="9"/>
        <v>0</v>
      </c>
      <c r="AT70" s="157">
        <v>50000</v>
      </c>
      <c r="AU70" s="195">
        <v>-50000</v>
      </c>
      <c r="AV70" s="157">
        <f t="shared" si="10"/>
        <v>0</v>
      </c>
      <c r="AW70" s="157">
        <f t="shared" si="11"/>
        <v>0</v>
      </c>
      <c r="AX70" s="238">
        <f t="shared" si="12"/>
        <v>0</v>
      </c>
    </row>
    <row r="71" spans="1:50" s="156" customFormat="1" ht="33" customHeight="1">
      <c r="A71" s="186"/>
      <c r="B71" s="173" t="s">
        <v>261</v>
      </c>
      <c r="C71" s="184" t="s">
        <v>263</v>
      </c>
      <c r="D71" s="174" t="s">
        <v>262</v>
      </c>
      <c r="E71" s="175"/>
      <c r="F71" s="175">
        <v>3480</v>
      </c>
      <c r="G71" s="175">
        <v>7540</v>
      </c>
      <c r="H71" s="175"/>
      <c r="I71" s="175"/>
      <c r="J71" s="175"/>
      <c r="K71" s="175"/>
      <c r="L71" s="175"/>
      <c r="M71" s="175"/>
      <c r="N71" s="175"/>
      <c r="O71" s="175"/>
      <c r="P71" s="175">
        <v>8752.9</v>
      </c>
      <c r="Q71" s="190">
        <v>21802.9</v>
      </c>
      <c r="R71" s="190">
        <v>29871</v>
      </c>
      <c r="S71" s="176">
        <v>8068.0999999999985</v>
      </c>
      <c r="T71" s="177">
        <v>0.2700980884469887</v>
      </c>
      <c r="U71" s="155"/>
      <c r="V71" s="173" t="s">
        <v>261</v>
      </c>
      <c r="W71" s="184" t="s">
        <v>263</v>
      </c>
      <c r="X71" s="174" t="s">
        <v>262</v>
      </c>
      <c r="Y71" s="176">
        <v>8752.9</v>
      </c>
      <c r="Z71" s="307">
        <v>0.00018255802129418417</v>
      </c>
      <c r="AA71" s="176">
        <v>1707</v>
      </c>
      <c r="AB71" s="176">
        <v>-7045.9</v>
      </c>
      <c r="AC71" s="177">
        <v>-4.127650849443468</v>
      </c>
      <c r="AE71" s="173" t="s">
        <v>261</v>
      </c>
      <c r="AF71" s="184" t="s">
        <v>263</v>
      </c>
      <c r="AG71" s="174" t="s">
        <v>262</v>
      </c>
      <c r="AH71" s="191">
        <v>21802.9</v>
      </c>
      <c r="AI71" s="191">
        <v>44162</v>
      </c>
      <c r="AJ71" s="194">
        <v>-14291</v>
      </c>
      <c r="AK71" s="191">
        <v>29871</v>
      </c>
      <c r="AL71" s="191">
        <v>8068.0999999999985</v>
      </c>
      <c r="AM71" s="237">
        <v>0.0007173825115049804</v>
      </c>
      <c r="AP71" s="173" t="s">
        <v>261</v>
      </c>
      <c r="AQ71" s="184" t="s">
        <v>263</v>
      </c>
      <c r="AR71" s="174" t="s">
        <v>262</v>
      </c>
      <c r="AS71" s="191">
        <f t="shared" si="9"/>
        <v>21802.9</v>
      </c>
      <c r="AT71" s="191">
        <v>44162</v>
      </c>
      <c r="AU71" s="194">
        <v>-14291</v>
      </c>
      <c r="AV71" s="191">
        <f t="shared" si="10"/>
        <v>29871</v>
      </c>
      <c r="AW71" s="191">
        <f t="shared" si="11"/>
        <v>8068.0999999999985</v>
      </c>
      <c r="AX71" s="237">
        <f t="shared" si="12"/>
        <v>0.00038983373532482123</v>
      </c>
    </row>
    <row r="72" spans="1:50" s="156" customFormat="1" ht="29.25" customHeight="1">
      <c r="A72" s="186"/>
      <c r="B72" s="152" t="s">
        <v>329</v>
      </c>
      <c r="C72" s="155" t="s">
        <v>263</v>
      </c>
      <c r="D72" s="159" t="s">
        <v>362</v>
      </c>
      <c r="E72" s="153"/>
      <c r="F72" s="153"/>
      <c r="G72" s="153"/>
      <c r="H72" s="153"/>
      <c r="I72" s="153"/>
      <c r="J72" s="153">
        <v>2030</v>
      </c>
      <c r="K72" s="153"/>
      <c r="L72" s="153"/>
      <c r="M72" s="153">
        <v>934.01</v>
      </c>
      <c r="N72" s="153">
        <v>6670</v>
      </c>
      <c r="O72" s="153">
        <v>6322</v>
      </c>
      <c r="P72" s="153">
        <v>90008.37</v>
      </c>
      <c r="Q72" s="189">
        <v>103934.37999999999</v>
      </c>
      <c r="R72" s="189">
        <v>325196</v>
      </c>
      <c r="S72" s="185">
        <v>221261.62</v>
      </c>
      <c r="T72" s="154">
        <v>0.6803946543007909</v>
      </c>
      <c r="U72" s="155"/>
      <c r="V72" s="152" t="s">
        <v>329</v>
      </c>
      <c r="W72" s="155" t="s">
        <v>263</v>
      </c>
      <c r="X72" s="159" t="s">
        <v>362</v>
      </c>
      <c r="Y72" s="185">
        <v>90008.37</v>
      </c>
      <c r="Z72" s="308">
        <v>0.0018772920891492887</v>
      </c>
      <c r="AA72" s="185">
        <v>258333</v>
      </c>
      <c r="AB72" s="185">
        <v>168324.63</v>
      </c>
      <c r="AC72" s="154">
        <v>0.6515800536516821</v>
      </c>
      <c r="AE72" s="152" t="s">
        <v>329</v>
      </c>
      <c r="AF72" s="155" t="s">
        <v>263</v>
      </c>
      <c r="AG72" s="159" t="s">
        <v>362</v>
      </c>
      <c r="AH72" s="158">
        <v>103934.37999999999</v>
      </c>
      <c r="AI72" s="158">
        <v>3395200</v>
      </c>
      <c r="AJ72" s="195">
        <v>-3070000</v>
      </c>
      <c r="AK72" s="158">
        <v>325200</v>
      </c>
      <c r="AL72" s="158">
        <v>221265.62</v>
      </c>
      <c r="AM72" s="238">
        <v>0.011768406461939475</v>
      </c>
      <c r="AP72" s="152" t="s">
        <v>329</v>
      </c>
      <c r="AQ72" s="155" t="s">
        <v>263</v>
      </c>
      <c r="AR72" s="159" t="s">
        <v>362</v>
      </c>
      <c r="AS72" s="158">
        <f t="shared" si="9"/>
        <v>103934.37999999999</v>
      </c>
      <c r="AT72" s="158">
        <v>3395200</v>
      </c>
      <c r="AU72" s="195">
        <v>-3070000</v>
      </c>
      <c r="AV72" s="158">
        <f t="shared" si="10"/>
        <v>325200</v>
      </c>
      <c r="AW72" s="158">
        <f t="shared" si="11"/>
        <v>221265.62</v>
      </c>
      <c r="AX72" s="238">
        <f t="shared" si="12"/>
        <v>0.010691092468308832</v>
      </c>
    </row>
    <row r="73" spans="1:50" s="156" customFormat="1" ht="27.75" customHeight="1">
      <c r="A73" s="186"/>
      <c r="B73" s="173" t="s">
        <v>244</v>
      </c>
      <c r="C73" s="184" t="s">
        <v>246</v>
      </c>
      <c r="D73" s="174" t="s">
        <v>245</v>
      </c>
      <c r="E73" s="175">
        <v>33408</v>
      </c>
      <c r="F73" s="175">
        <v>33408</v>
      </c>
      <c r="G73" s="175">
        <v>33408</v>
      </c>
      <c r="H73" s="175">
        <v>33408</v>
      </c>
      <c r="I73" s="175">
        <v>33408</v>
      </c>
      <c r="J73" s="175">
        <v>33408</v>
      </c>
      <c r="K73" s="175">
        <v>33408</v>
      </c>
      <c r="L73" s="175">
        <v>33408</v>
      </c>
      <c r="M73" s="175">
        <v>33408</v>
      </c>
      <c r="N73" s="175">
        <v>38046.84</v>
      </c>
      <c r="O73" s="175">
        <v>33408</v>
      </c>
      <c r="P73" s="175">
        <v>33408</v>
      </c>
      <c r="Q73" s="175">
        <v>405534.83999999997</v>
      </c>
      <c r="R73" s="175">
        <v>500498</v>
      </c>
      <c r="S73" s="176">
        <v>94963.16000000003</v>
      </c>
      <c r="T73" s="177">
        <v>0.18973734160775874</v>
      </c>
      <c r="U73" s="155"/>
      <c r="V73" s="173" t="s">
        <v>244</v>
      </c>
      <c r="W73" s="184" t="s">
        <v>246</v>
      </c>
      <c r="X73" s="174" t="s">
        <v>245</v>
      </c>
      <c r="Y73" s="176">
        <v>33408</v>
      </c>
      <c r="Z73" s="307">
        <v>0.0006967860223921335</v>
      </c>
      <c r="AA73" s="176">
        <v>16809</v>
      </c>
      <c r="AB73" s="176">
        <v>-16599</v>
      </c>
      <c r="AC73" s="177">
        <v>-0.9875066928431198</v>
      </c>
      <c r="AE73" s="173" t="s">
        <v>244</v>
      </c>
      <c r="AF73" s="184" t="s">
        <v>246</v>
      </c>
      <c r="AG73" s="174" t="s">
        <v>245</v>
      </c>
      <c r="AH73" s="191">
        <v>405534.83999999997</v>
      </c>
      <c r="AI73" s="191">
        <v>201701</v>
      </c>
      <c r="AJ73" s="194">
        <v>298797</v>
      </c>
      <c r="AK73" s="191">
        <v>500498</v>
      </c>
      <c r="AL73" s="191">
        <v>94963.16000000003</v>
      </c>
      <c r="AM73" s="237">
        <v>0.00488521697340235</v>
      </c>
      <c r="AP73" s="173" t="s">
        <v>244</v>
      </c>
      <c r="AQ73" s="184" t="s">
        <v>246</v>
      </c>
      <c r="AR73" s="174" t="s">
        <v>245</v>
      </c>
      <c r="AS73" s="191">
        <f t="shared" si="9"/>
        <v>405534.83999999997</v>
      </c>
      <c r="AT73" s="191">
        <v>201701</v>
      </c>
      <c r="AU73" s="194">
        <v>298797</v>
      </c>
      <c r="AV73" s="191">
        <f t="shared" si="10"/>
        <v>500498</v>
      </c>
      <c r="AW73" s="191">
        <f t="shared" si="11"/>
        <v>94963.16000000003</v>
      </c>
      <c r="AX73" s="237">
        <f t="shared" si="12"/>
        <v>0.004588421484742216</v>
      </c>
    </row>
    <row r="74" spans="1:50" s="156" customFormat="1" ht="18.75" customHeight="1">
      <c r="A74" s="186"/>
      <c r="B74" s="152" t="s">
        <v>248</v>
      </c>
      <c r="C74" s="155" t="s">
        <v>249</v>
      </c>
      <c r="D74" s="159" t="s">
        <v>250</v>
      </c>
      <c r="E74" s="153">
        <v>903.13</v>
      </c>
      <c r="F74" s="153">
        <f>1254.9-2</f>
        <v>1252.9</v>
      </c>
      <c r="G74" s="153">
        <v>2007.83</v>
      </c>
      <c r="H74" s="153">
        <v>383.94</v>
      </c>
      <c r="I74" s="153">
        <v>10176.92</v>
      </c>
      <c r="J74" s="153">
        <v>990.03</v>
      </c>
      <c r="K74" s="153">
        <v>1024</v>
      </c>
      <c r="L74" s="153">
        <v>1139.27</v>
      </c>
      <c r="M74" s="153">
        <v>1604.14</v>
      </c>
      <c r="N74" s="153">
        <v>1129.21</v>
      </c>
      <c r="O74" s="153">
        <v>874.9</v>
      </c>
      <c r="P74" s="153">
        <v>3151.65</v>
      </c>
      <c r="Q74" s="153">
        <v>24637.920000000002</v>
      </c>
      <c r="R74" s="153">
        <v>29187</v>
      </c>
      <c r="S74" s="185">
        <v>4549.079999999998</v>
      </c>
      <c r="T74" s="154">
        <v>0.15585980059615576</v>
      </c>
      <c r="U74" s="155"/>
      <c r="V74" s="152" t="s">
        <v>248</v>
      </c>
      <c r="W74" s="155" t="s">
        <v>249</v>
      </c>
      <c r="X74" s="159" t="s">
        <v>250</v>
      </c>
      <c r="Y74" s="185">
        <v>3151.65</v>
      </c>
      <c r="Z74" s="308">
        <v>6.573352692385558E-05</v>
      </c>
      <c r="AA74" s="185">
        <v>2830</v>
      </c>
      <c r="AB74" s="185">
        <v>-321.6500000000001</v>
      </c>
      <c r="AC74" s="154">
        <v>-0.11365724381625444</v>
      </c>
      <c r="AE74" s="152" t="s">
        <v>248</v>
      </c>
      <c r="AF74" s="155" t="s">
        <v>249</v>
      </c>
      <c r="AG74" s="159" t="s">
        <v>250</v>
      </c>
      <c r="AH74" s="158">
        <v>24637.920000000002</v>
      </c>
      <c r="AI74" s="158">
        <v>33927</v>
      </c>
      <c r="AJ74" s="195">
        <v>-4740</v>
      </c>
      <c r="AK74" s="158">
        <v>29187</v>
      </c>
      <c r="AL74" s="158">
        <v>4549.079999999998</v>
      </c>
      <c r="AM74" s="238">
        <v>0.0002930544282967348</v>
      </c>
      <c r="AP74" s="152" t="s">
        <v>248</v>
      </c>
      <c r="AQ74" s="155" t="s">
        <v>249</v>
      </c>
      <c r="AR74" s="159" t="s">
        <v>250</v>
      </c>
      <c r="AS74" s="158">
        <f t="shared" si="9"/>
        <v>24637.920000000002</v>
      </c>
      <c r="AT74" s="158">
        <v>33927</v>
      </c>
      <c r="AU74" s="195">
        <v>-4740</v>
      </c>
      <c r="AV74" s="158">
        <f t="shared" si="10"/>
        <v>29187</v>
      </c>
      <c r="AW74" s="158">
        <f t="shared" si="11"/>
        <v>4549.079999999998</v>
      </c>
      <c r="AX74" s="238">
        <f t="shared" si="12"/>
        <v>0.00021980204121062425</v>
      </c>
    </row>
    <row r="75" spans="1:50" s="156" customFormat="1" ht="24.75" customHeight="1">
      <c r="A75" s="186"/>
      <c r="B75" s="173">
        <v>3451</v>
      </c>
      <c r="C75" s="184" t="s">
        <v>247</v>
      </c>
      <c r="D75" s="174" t="s">
        <v>204</v>
      </c>
      <c r="E75" s="175"/>
      <c r="F75" s="175">
        <v>129763.71</v>
      </c>
      <c r="G75" s="175"/>
      <c r="H75" s="175">
        <v>68485.7</v>
      </c>
      <c r="I75" s="175"/>
      <c r="J75" s="175">
        <v>2166.16</v>
      </c>
      <c r="K75" s="175"/>
      <c r="L75" s="175">
        <v>4160.43</v>
      </c>
      <c r="M75" s="175"/>
      <c r="N75" s="175"/>
      <c r="O75" s="175">
        <v>7615.91</v>
      </c>
      <c r="P75" s="175">
        <v>-7615.91</v>
      </c>
      <c r="Q75" s="190">
        <v>204576</v>
      </c>
      <c r="R75" s="190">
        <v>315890</v>
      </c>
      <c r="S75" s="176">
        <v>111314</v>
      </c>
      <c r="T75" s="177">
        <v>0.3523821583462598</v>
      </c>
      <c r="U75" s="155"/>
      <c r="V75" s="173">
        <v>3451</v>
      </c>
      <c r="W75" s="184" t="s">
        <v>247</v>
      </c>
      <c r="X75" s="174" t="s">
        <v>204</v>
      </c>
      <c r="Y75" s="176">
        <v>-7615.91</v>
      </c>
      <c r="Z75" s="307">
        <v>-0.0001588439785619155</v>
      </c>
      <c r="AA75" s="176">
        <v>27827</v>
      </c>
      <c r="AB75" s="176">
        <v>35442.91</v>
      </c>
      <c r="AC75" s="177">
        <v>1.2736877852445467</v>
      </c>
      <c r="AE75" s="173">
        <v>3451</v>
      </c>
      <c r="AF75" s="184" t="s">
        <v>247</v>
      </c>
      <c r="AG75" s="174" t="s">
        <v>204</v>
      </c>
      <c r="AH75" s="191">
        <v>204576</v>
      </c>
      <c r="AI75" s="191">
        <v>333942</v>
      </c>
      <c r="AJ75" s="194">
        <v>-18052</v>
      </c>
      <c r="AK75" s="191">
        <v>315890</v>
      </c>
      <c r="AL75" s="191">
        <v>111314</v>
      </c>
      <c r="AM75" s="237">
        <v>0.003946273207918386</v>
      </c>
      <c r="AP75" s="173">
        <v>3451</v>
      </c>
      <c r="AQ75" s="184" t="s">
        <v>247</v>
      </c>
      <c r="AR75" s="174" t="s">
        <v>204</v>
      </c>
      <c r="AS75" s="191">
        <f t="shared" si="9"/>
        <v>204576</v>
      </c>
      <c r="AT75" s="191">
        <v>333942</v>
      </c>
      <c r="AU75" s="194">
        <v>-18052</v>
      </c>
      <c r="AV75" s="191">
        <f t="shared" si="10"/>
        <v>315890</v>
      </c>
      <c r="AW75" s="191">
        <f t="shared" si="11"/>
        <v>111314</v>
      </c>
      <c r="AX75" s="237">
        <f t="shared" si="12"/>
        <v>0.005378459911744669</v>
      </c>
    </row>
    <row r="76" spans="1:50" s="156" customFormat="1" ht="18.75" customHeight="1">
      <c r="A76" s="186"/>
      <c r="B76" s="152">
        <v>3471</v>
      </c>
      <c r="C76" s="155" t="s">
        <v>376</v>
      </c>
      <c r="D76" s="159" t="s">
        <v>205</v>
      </c>
      <c r="E76" s="153"/>
      <c r="F76" s="153">
        <v>415.5</v>
      </c>
      <c r="G76" s="153">
        <v>2937</v>
      </c>
      <c r="H76" s="153"/>
      <c r="I76" s="153">
        <v>2274</v>
      </c>
      <c r="J76" s="153">
        <v>2608.01</v>
      </c>
      <c r="K76" s="153"/>
      <c r="L76" s="153">
        <v>2004.76</v>
      </c>
      <c r="M76" s="153">
        <v>214</v>
      </c>
      <c r="N76" s="153">
        <v>5238.99</v>
      </c>
      <c r="O76" s="153">
        <v>2549.95</v>
      </c>
      <c r="P76" s="153">
        <v>12138.08</v>
      </c>
      <c r="Q76" s="185">
        <v>30380.29</v>
      </c>
      <c r="R76" s="185">
        <v>601894</v>
      </c>
      <c r="S76" s="185">
        <v>571513.71</v>
      </c>
      <c r="T76" s="154">
        <v>0.9495255144593566</v>
      </c>
      <c r="U76" s="155"/>
      <c r="V76" s="152">
        <v>3471</v>
      </c>
      <c r="W76" s="155" t="s">
        <v>376</v>
      </c>
      <c r="X76" s="159" t="s">
        <v>205</v>
      </c>
      <c r="Y76" s="185">
        <v>12138.08</v>
      </c>
      <c r="Z76" s="308">
        <v>0.0002531622510380001</v>
      </c>
      <c r="AA76" s="185">
        <v>118827</v>
      </c>
      <c r="AB76" s="185">
        <v>106688.92</v>
      </c>
      <c r="AC76" s="154">
        <v>0.8978508251491665</v>
      </c>
      <c r="AE76" s="152">
        <v>3471</v>
      </c>
      <c r="AF76" s="155" t="s">
        <v>376</v>
      </c>
      <c r="AG76" s="159" t="s">
        <v>205</v>
      </c>
      <c r="AH76" s="158">
        <v>30380.29</v>
      </c>
      <c r="AI76" s="158">
        <v>1089928</v>
      </c>
      <c r="AJ76" s="195">
        <v>-488034</v>
      </c>
      <c r="AK76" s="158">
        <v>601894</v>
      </c>
      <c r="AL76" s="158">
        <v>571513.71</v>
      </c>
      <c r="AM76" s="238">
        <v>0.022211107471994986</v>
      </c>
      <c r="AP76" s="152">
        <v>3471</v>
      </c>
      <c r="AQ76" s="155" t="s">
        <v>376</v>
      </c>
      <c r="AR76" s="159" t="s">
        <v>205</v>
      </c>
      <c r="AS76" s="158">
        <f t="shared" si="9"/>
        <v>30380.29</v>
      </c>
      <c r="AT76" s="158">
        <v>1089928</v>
      </c>
      <c r="AU76" s="195">
        <v>-488034</v>
      </c>
      <c r="AV76" s="158">
        <f t="shared" si="10"/>
        <v>601894</v>
      </c>
      <c r="AW76" s="158">
        <f t="shared" si="11"/>
        <v>571513.71</v>
      </c>
      <c r="AX76" s="238">
        <f t="shared" si="12"/>
        <v>0.027614348404041433</v>
      </c>
    </row>
    <row r="77" spans="1:50" s="156" customFormat="1" ht="24" customHeight="1">
      <c r="A77" s="186"/>
      <c r="B77" s="173">
        <v>3511</v>
      </c>
      <c r="C77" s="184" t="s">
        <v>255</v>
      </c>
      <c r="D77" s="174" t="s">
        <v>206</v>
      </c>
      <c r="E77" s="175"/>
      <c r="F77" s="175"/>
      <c r="G77" s="175">
        <v>12876</v>
      </c>
      <c r="H77" s="175">
        <v>15271.4</v>
      </c>
      <c r="I77" s="175"/>
      <c r="J77" s="175"/>
      <c r="K77" s="175">
        <v>39947.62</v>
      </c>
      <c r="L77" s="175">
        <v>394.4</v>
      </c>
      <c r="M77" s="175">
        <v>11878.4</v>
      </c>
      <c r="N77" s="175">
        <v>67983.04</v>
      </c>
      <c r="O77" s="175">
        <v>3956.39</v>
      </c>
      <c r="P77" s="175">
        <v>63062.24</v>
      </c>
      <c r="Q77" s="190">
        <v>215369.49</v>
      </c>
      <c r="R77" s="190">
        <v>182573</v>
      </c>
      <c r="S77" s="176">
        <v>-32796.48999999999</v>
      </c>
      <c r="T77" s="177">
        <v>-0.17963494054433016</v>
      </c>
      <c r="U77" s="155"/>
      <c r="V77" s="173">
        <v>3511</v>
      </c>
      <c r="W77" s="184" t="s">
        <v>255</v>
      </c>
      <c r="X77" s="174" t="s">
        <v>206</v>
      </c>
      <c r="Y77" s="176">
        <v>63062.24</v>
      </c>
      <c r="Z77" s="307">
        <v>0.0013152803931015954</v>
      </c>
      <c r="AA77" s="176">
        <v>1390929</v>
      </c>
      <c r="AB77" s="176">
        <v>1327866.76</v>
      </c>
      <c r="AC77" s="177">
        <v>0.9546617835993066</v>
      </c>
      <c r="AE77" s="173">
        <v>3511</v>
      </c>
      <c r="AF77" s="184" t="s">
        <v>255</v>
      </c>
      <c r="AG77" s="174" t="s">
        <v>206</v>
      </c>
      <c r="AH77" s="191">
        <v>215369.49</v>
      </c>
      <c r="AI77" s="191">
        <v>10131145</v>
      </c>
      <c r="AJ77" s="194">
        <v>-9948574</v>
      </c>
      <c r="AK77" s="191">
        <v>182571</v>
      </c>
      <c r="AL77" s="194">
        <v>-32798.48999999999</v>
      </c>
      <c r="AM77" s="237">
        <v>0.00115169937841806</v>
      </c>
      <c r="AP77" s="173">
        <v>3511</v>
      </c>
      <c r="AQ77" s="184" t="s">
        <v>255</v>
      </c>
      <c r="AR77" s="174" t="s">
        <v>206</v>
      </c>
      <c r="AS77" s="191">
        <f t="shared" si="9"/>
        <v>215369.49</v>
      </c>
      <c r="AT77" s="191">
        <v>10131145</v>
      </c>
      <c r="AU77" s="194">
        <v>-9948574</v>
      </c>
      <c r="AV77" s="191">
        <f t="shared" si="10"/>
        <v>182571</v>
      </c>
      <c r="AW77" s="191">
        <f t="shared" si="11"/>
        <v>-32798.48999999999</v>
      </c>
      <c r="AX77" s="237">
        <f t="shared" si="12"/>
        <v>-0.0015847545109398489</v>
      </c>
    </row>
    <row r="78" spans="1:50" s="156" customFormat="1" ht="33.75" customHeight="1">
      <c r="A78" s="186"/>
      <c r="B78" s="152" t="s">
        <v>252</v>
      </c>
      <c r="C78" s="155" t="s">
        <v>253</v>
      </c>
      <c r="D78" s="159" t="s">
        <v>254</v>
      </c>
      <c r="E78" s="153"/>
      <c r="F78" s="153">
        <v>3074</v>
      </c>
      <c r="G78" s="153">
        <v>2678.8</v>
      </c>
      <c r="H78" s="153">
        <v>1571.1</v>
      </c>
      <c r="I78" s="153"/>
      <c r="J78" s="153"/>
      <c r="K78" s="153">
        <v>2517.2</v>
      </c>
      <c r="L78" s="153">
        <v>7148.57</v>
      </c>
      <c r="M78" s="153">
        <v>0</v>
      </c>
      <c r="N78" s="153">
        <v>2900</v>
      </c>
      <c r="O78" s="153">
        <v>2122.8</v>
      </c>
      <c r="P78" s="153">
        <v>14520.88</v>
      </c>
      <c r="Q78" s="189">
        <v>36533.35</v>
      </c>
      <c r="R78" s="189">
        <v>42584</v>
      </c>
      <c r="S78" s="185">
        <v>6050.6500000000015</v>
      </c>
      <c r="T78" s="154">
        <v>0.14208740371970696</v>
      </c>
      <c r="U78" s="155"/>
      <c r="V78" s="152" t="s">
        <v>252</v>
      </c>
      <c r="W78" s="155" t="s">
        <v>253</v>
      </c>
      <c r="X78" s="159" t="s">
        <v>254</v>
      </c>
      <c r="Y78" s="185">
        <v>14520.88</v>
      </c>
      <c r="Z78" s="308">
        <v>0.00030285998014946967</v>
      </c>
      <c r="AA78" s="185">
        <v>3898</v>
      </c>
      <c r="AB78" s="185">
        <v>-10622.88</v>
      </c>
      <c r="AC78" s="154">
        <v>-2.725212929707542</v>
      </c>
      <c r="AE78" s="152" t="s">
        <v>252</v>
      </c>
      <c r="AF78" s="155" t="s">
        <v>253</v>
      </c>
      <c r="AG78" s="159" t="s">
        <v>254</v>
      </c>
      <c r="AH78" s="157">
        <v>36533.35</v>
      </c>
      <c r="AI78" s="157">
        <v>66784</v>
      </c>
      <c r="AJ78" s="195">
        <v>-24200</v>
      </c>
      <c r="AK78" s="157">
        <v>42584</v>
      </c>
      <c r="AL78" s="157">
        <v>6050.6500000000015</v>
      </c>
      <c r="AM78" s="238">
        <v>0.0007828579840273753</v>
      </c>
      <c r="AP78" s="152" t="s">
        <v>252</v>
      </c>
      <c r="AQ78" s="155" t="s">
        <v>253</v>
      </c>
      <c r="AR78" s="159" t="s">
        <v>254</v>
      </c>
      <c r="AS78" s="157">
        <f t="shared" si="9"/>
        <v>36533.35</v>
      </c>
      <c r="AT78" s="157">
        <v>66784</v>
      </c>
      <c r="AU78" s="195">
        <v>-24200</v>
      </c>
      <c r="AV78" s="157">
        <f t="shared" si="10"/>
        <v>42584</v>
      </c>
      <c r="AW78" s="157">
        <f t="shared" si="11"/>
        <v>6050.6500000000015</v>
      </c>
      <c r="AX78" s="238">
        <f t="shared" si="12"/>
        <v>0.0002923547663815682</v>
      </c>
    </row>
    <row r="79" spans="1:50" s="156" customFormat="1" ht="30" customHeight="1">
      <c r="A79" s="186"/>
      <c r="B79" s="173" t="s">
        <v>312</v>
      </c>
      <c r="C79" s="184" t="s">
        <v>343</v>
      </c>
      <c r="D79" s="174" t="s">
        <v>313</v>
      </c>
      <c r="E79" s="175"/>
      <c r="F79" s="175"/>
      <c r="G79" s="175">
        <v>3608.6</v>
      </c>
      <c r="H79" s="175"/>
      <c r="I79" s="175"/>
      <c r="J79" s="175">
        <v>24868.6</v>
      </c>
      <c r="K79" s="175">
        <v>12656.41</v>
      </c>
      <c r="L79" s="175"/>
      <c r="M79" s="175">
        <v>201859.72</v>
      </c>
      <c r="N79" s="175"/>
      <c r="O79" s="175">
        <v>6876.48</v>
      </c>
      <c r="P79" s="175">
        <v>39048.53</v>
      </c>
      <c r="Q79" s="175">
        <v>288918.34</v>
      </c>
      <c r="R79" s="175">
        <v>4417567</v>
      </c>
      <c r="S79" s="176">
        <v>4128648.66</v>
      </c>
      <c r="T79" s="177">
        <v>0.9345978589572043</v>
      </c>
      <c r="U79" s="155"/>
      <c r="V79" s="173" t="s">
        <v>312</v>
      </c>
      <c r="W79" s="184" t="s">
        <v>343</v>
      </c>
      <c r="X79" s="174" t="s">
        <v>313</v>
      </c>
      <c r="Y79" s="176">
        <v>39048.53</v>
      </c>
      <c r="Z79" s="307">
        <v>0.0008144297742744221</v>
      </c>
      <c r="AA79" s="176">
        <v>100833</v>
      </c>
      <c r="AB79" s="176">
        <v>61784.47</v>
      </c>
      <c r="AC79" s="177">
        <v>0.6127405710432101</v>
      </c>
      <c r="AE79" s="173" t="s">
        <v>312</v>
      </c>
      <c r="AF79" s="184" t="s">
        <v>343</v>
      </c>
      <c r="AG79" s="174" t="s">
        <v>313</v>
      </c>
      <c r="AH79" s="191">
        <v>288918.34</v>
      </c>
      <c r="AI79" s="191">
        <v>2413100</v>
      </c>
      <c r="AJ79" s="194">
        <v>2004467</v>
      </c>
      <c r="AK79" s="191">
        <v>4417567</v>
      </c>
      <c r="AL79" s="191">
        <v>4128648.66</v>
      </c>
      <c r="AM79" s="237">
        <v>0.1586034203678558</v>
      </c>
      <c r="AP79" s="173" t="s">
        <v>312</v>
      </c>
      <c r="AQ79" s="184" t="s">
        <v>343</v>
      </c>
      <c r="AR79" s="174" t="s">
        <v>313</v>
      </c>
      <c r="AS79" s="191">
        <f t="shared" si="9"/>
        <v>288918.34</v>
      </c>
      <c r="AT79" s="191">
        <v>2413100</v>
      </c>
      <c r="AU79" s="194">
        <v>2004467</v>
      </c>
      <c r="AV79" s="191">
        <f t="shared" si="10"/>
        <v>4417567</v>
      </c>
      <c r="AW79" s="191">
        <f t="shared" si="11"/>
        <v>4128648.66</v>
      </c>
      <c r="AX79" s="237">
        <f t="shared" si="12"/>
        <v>0.19948767726870245</v>
      </c>
    </row>
    <row r="80" spans="1:50" s="156" customFormat="1" ht="21" customHeight="1">
      <c r="A80" s="186"/>
      <c r="B80" s="152">
        <v>3551</v>
      </c>
      <c r="C80" s="155" t="s">
        <v>344</v>
      </c>
      <c r="D80" s="159" t="s">
        <v>207</v>
      </c>
      <c r="E80" s="153">
        <v>8437.42</v>
      </c>
      <c r="F80" s="153">
        <v>16266.91</v>
      </c>
      <c r="G80" s="153">
        <v>28462.51</v>
      </c>
      <c r="H80" s="153">
        <v>42297.35</v>
      </c>
      <c r="I80" s="153">
        <v>30464</v>
      </c>
      <c r="J80" s="153">
        <v>24043.86</v>
      </c>
      <c r="K80" s="153">
        <v>14766.6</v>
      </c>
      <c r="L80" s="153">
        <v>21199.9</v>
      </c>
      <c r="M80" s="153">
        <v>41013.04</v>
      </c>
      <c r="N80" s="153">
        <v>21311.48</v>
      </c>
      <c r="O80" s="153">
        <v>1682</v>
      </c>
      <c r="P80" s="153">
        <v>34656.11</v>
      </c>
      <c r="Q80" s="189">
        <v>284601.18</v>
      </c>
      <c r="R80" s="189">
        <v>354605</v>
      </c>
      <c r="S80" s="185">
        <v>70003.82</v>
      </c>
      <c r="T80" s="154">
        <v>0.19741351644787863</v>
      </c>
      <c r="U80" s="155"/>
      <c r="V80" s="152">
        <v>3551</v>
      </c>
      <c r="W80" s="155" t="s">
        <v>344</v>
      </c>
      <c r="X80" s="159" t="s">
        <v>207</v>
      </c>
      <c r="Y80" s="185">
        <v>34656.11</v>
      </c>
      <c r="Z80" s="308">
        <v>0.00072281767955233</v>
      </c>
      <c r="AA80" s="185">
        <v>22666</v>
      </c>
      <c r="AB80" s="185">
        <v>-11990.11</v>
      </c>
      <c r="AC80" s="154">
        <v>-0.5289909997352864</v>
      </c>
      <c r="AE80" s="152">
        <v>3551</v>
      </c>
      <c r="AF80" s="155" t="s">
        <v>344</v>
      </c>
      <c r="AG80" s="159" t="s">
        <v>207</v>
      </c>
      <c r="AH80" s="158">
        <v>284601.18</v>
      </c>
      <c r="AI80" s="158">
        <v>423000</v>
      </c>
      <c r="AJ80" s="195">
        <v>-68395</v>
      </c>
      <c r="AK80" s="158">
        <v>354605</v>
      </c>
      <c r="AL80" s="158">
        <v>70003.82</v>
      </c>
      <c r="AM80" s="238">
        <v>0.0039828764223296086</v>
      </c>
      <c r="AP80" s="152">
        <v>3551</v>
      </c>
      <c r="AQ80" s="155" t="s">
        <v>344</v>
      </c>
      <c r="AR80" s="159" t="s">
        <v>207</v>
      </c>
      <c r="AS80" s="158">
        <f t="shared" si="9"/>
        <v>284601.18</v>
      </c>
      <c r="AT80" s="158">
        <v>423000</v>
      </c>
      <c r="AU80" s="195">
        <v>-68395</v>
      </c>
      <c r="AV80" s="158">
        <f t="shared" si="10"/>
        <v>354605</v>
      </c>
      <c r="AW80" s="158">
        <f t="shared" si="11"/>
        <v>70003.82</v>
      </c>
      <c r="AX80" s="238">
        <f t="shared" si="12"/>
        <v>0.003382438323472247</v>
      </c>
    </row>
    <row r="81" spans="1:50" s="156" customFormat="1" ht="29.25" customHeight="1">
      <c r="A81" s="186"/>
      <c r="B81" s="173" t="s">
        <v>314</v>
      </c>
      <c r="C81" s="184" t="s">
        <v>345</v>
      </c>
      <c r="D81" s="174" t="s">
        <v>315</v>
      </c>
      <c r="E81" s="175"/>
      <c r="F81" s="175"/>
      <c r="G81" s="175">
        <v>1686</v>
      </c>
      <c r="H81" s="175">
        <v>160.01</v>
      </c>
      <c r="I81" s="175"/>
      <c r="J81" s="175"/>
      <c r="K81" s="175">
        <v>8769.99</v>
      </c>
      <c r="L81" s="175"/>
      <c r="M81" s="175"/>
      <c r="N81" s="175">
        <v>8225</v>
      </c>
      <c r="O81" s="175"/>
      <c r="P81" s="175">
        <v>1964</v>
      </c>
      <c r="Q81" s="175">
        <v>20805</v>
      </c>
      <c r="R81" s="175">
        <v>44525</v>
      </c>
      <c r="S81" s="176">
        <v>23720</v>
      </c>
      <c r="T81" s="177">
        <v>0.5327344188658057</v>
      </c>
      <c r="U81" s="155"/>
      <c r="V81" s="173" t="s">
        <v>314</v>
      </c>
      <c r="W81" s="184" t="s">
        <v>345</v>
      </c>
      <c r="X81" s="174" t="s">
        <v>315</v>
      </c>
      <c r="Y81" s="176">
        <v>1964</v>
      </c>
      <c r="Z81" s="307">
        <v>4.0962875598004975E-05</v>
      </c>
      <c r="AA81" s="176">
        <v>8478</v>
      </c>
      <c r="AB81" s="176">
        <v>6514</v>
      </c>
      <c r="AC81" s="177">
        <v>0.7683415899976409</v>
      </c>
      <c r="AE81" s="173" t="s">
        <v>314</v>
      </c>
      <c r="AF81" s="184" t="s">
        <v>345</v>
      </c>
      <c r="AG81" s="174" t="s">
        <v>315</v>
      </c>
      <c r="AH81" s="191">
        <v>20805</v>
      </c>
      <c r="AI81" s="191">
        <v>101727</v>
      </c>
      <c r="AJ81" s="194">
        <v>-57202</v>
      </c>
      <c r="AK81" s="191">
        <v>44525</v>
      </c>
      <c r="AL81" s="191">
        <v>23720</v>
      </c>
      <c r="AM81" s="237">
        <v>0.0009774151199137403</v>
      </c>
      <c r="AP81" s="173" t="s">
        <v>314</v>
      </c>
      <c r="AQ81" s="184" t="s">
        <v>345</v>
      </c>
      <c r="AR81" s="174" t="s">
        <v>315</v>
      </c>
      <c r="AS81" s="191">
        <f t="shared" si="9"/>
        <v>20805</v>
      </c>
      <c r="AT81" s="191">
        <v>101727</v>
      </c>
      <c r="AU81" s="194">
        <v>-57202</v>
      </c>
      <c r="AV81" s="191">
        <f t="shared" si="10"/>
        <v>44525</v>
      </c>
      <c r="AW81" s="191">
        <f t="shared" si="11"/>
        <v>23720</v>
      </c>
      <c r="AX81" s="237">
        <f t="shared" si="12"/>
        <v>0.0011461008418220846</v>
      </c>
    </row>
    <row r="82" spans="1:50" s="156" customFormat="1" ht="20.25" customHeight="1">
      <c r="A82" s="186"/>
      <c r="B82" s="152" t="s">
        <v>316</v>
      </c>
      <c r="C82" s="155" t="s">
        <v>345</v>
      </c>
      <c r="D82" s="159" t="s">
        <v>317</v>
      </c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>
        <v>2350</v>
      </c>
      <c r="P82" s="153">
        <v>30160</v>
      </c>
      <c r="Q82" s="189">
        <v>32510</v>
      </c>
      <c r="R82" s="189">
        <v>3333</v>
      </c>
      <c r="S82" s="185">
        <v>-29177</v>
      </c>
      <c r="T82" s="154">
        <v>-8.753975397539755</v>
      </c>
      <c r="U82" s="155"/>
      <c r="V82" s="152" t="s">
        <v>316</v>
      </c>
      <c r="W82" s="155" t="s">
        <v>345</v>
      </c>
      <c r="X82" s="159" t="s">
        <v>317</v>
      </c>
      <c r="Y82" s="185">
        <v>30160</v>
      </c>
      <c r="Z82" s="308">
        <v>0.0006290429368817872</v>
      </c>
      <c r="AA82" s="185">
        <v>834</v>
      </c>
      <c r="AB82" s="185">
        <v>-29326</v>
      </c>
      <c r="AC82" s="154">
        <v>-35.16306954436451</v>
      </c>
      <c r="AE82" s="152" t="s">
        <v>316</v>
      </c>
      <c r="AF82" s="155" t="s">
        <v>345</v>
      </c>
      <c r="AG82" s="159" t="s">
        <v>317</v>
      </c>
      <c r="AH82" s="158">
        <v>32510</v>
      </c>
      <c r="AI82" s="158">
        <v>10000</v>
      </c>
      <c r="AJ82" s="195">
        <v>-6667</v>
      </c>
      <c r="AK82" s="158">
        <v>3333</v>
      </c>
      <c r="AL82" s="195">
        <v>-29177</v>
      </c>
      <c r="AM82" s="238">
        <v>3.7408466861672895E-05</v>
      </c>
      <c r="AP82" s="152" t="s">
        <v>316</v>
      </c>
      <c r="AQ82" s="155" t="s">
        <v>345</v>
      </c>
      <c r="AR82" s="159" t="s">
        <v>317</v>
      </c>
      <c r="AS82" s="158">
        <f t="shared" si="9"/>
        <v>32510</v>
      </c>
      <c r="AT82" s="158">
        <v>10000</v>
      </c>
      <c r="AU82" s="195">
        <v>-6667</v>
      </c>
      <c r="AV82" s="158">
        <f t="shared" si="10"/>
        <v>3333</v>
      </c>
      <c r="AW82" s="158">
        <f t="shared" si="11"/>
        <v>-29177</v>
      </c>
      <c r="AX82" s="238">
        <f t="shared" si="12"/>
        <v>-0.0014097716805161454</v>
      </c>
    </row>
    <row r="83" spans="1:50" s="156" customFormat="1" ht="40.5" customHeight="1">
      <c r="A83" s="186"/>
      <c r="B83" s="173">
        <v>3611</v>
      </c>
      <c r="C83" s="274" t="s">
        <v>260</v>
      </c>
      <c r="D83" s="174" t="s">
        <v>208</v>
      </c>
      <c r="E83" s="175"/>
      <c r="F83" s="175">
        <f>74472+6600.4</f>
        <v>81072.4</v>
      </c>
      <c r="G83" s="175">
        <f>59624-G86</f>
        <v>1624</v>
      </c>
      <c r="H83" s="175">
        <f>13656.52</f>
        <v>13656.52</v>
      </c>
      <c r="I83" s="175"/>
      <c r="J83" s="175">
        <v>233.86</v>
      </c>
      <c r="K83" s="175"/>
      <c r="L83" s="175">
        <f>121989.36+132240</f>
        <v>254229.36</v>
      </c>
      <c r="M83" s="175">
        <f>218486+70000</f>
        <v>288486</v>
      </c>
      <c r="N83" s="175">
        <v>153587.76</v>
      </c>
      <c r="O83" s="175">
        <v>24381.16</v>
      </c>
      <c r="P83" s="175">
        <v>159274.38</v>
      </c>
      <c r="Q83" s="175">
        <v>976545.4400000001</v>
      </c>
      <c r="R83" s="175">
        <v>3458572</v>
      </c>
      <c r="S83" s="176">
        <v>2482026.56</v>
      </c>
      <c r="T83" s="177">
        <v>0.7176449008434695</v>
      </c>
      <c r="U83" s="155"/>
      <c r="V83" s="173">
        <v>3611</v>
      </c>
      <c r="W83" s="274" t="s">
        <v>377</v>
      </c>
      <c r="X83" s="174" t="s">
        <v>208</v>
      </c>
      <c r="Y83" s="176">
        <v>159274.38</v>
      </c>
      <c r="Z83" s="307">
        <v>0.003321963652693163</v>
      </c>
      <c r="AA83" s="176">
        <v>1013350</v>
      </c>
      <c r="AB83" s="176">
        <v>854075.62</v>
      </c>
      <c r="AC83" s="177">
        <v>0.8428239206591996</v>
      </c>
      <c r="AE83" s="173">
        <v>3611</v>
      </c>
      <c r="AF83" s="274" t="s">
        <v>260</v>
      </c>
      <c r="AG83" s="174" t="s">
        <v>208</v>
      </c>
      <c r="AH83" s="191">
        <v>976545.4400000001</v>
      </c>
      <c r="AI83" s="191">
        <v>13490528</v>
      </c>
      <c r="AJ83" s="194">
        <v>-10031956</v>
      </c>
      <c r="AK83" s="191">
        <v>3458572</v>
      </c>
      <c r="AL83" s="191">
        <v>2482026.56</v>
      </c>
      <c r="AM83" s="237">
        <v>0.10051578706581431</v>
      </c>
      <c r="AP83" s="173">
        <v>3611</v>
      </c>
      <c r="AQ83" s="274" t="s">
        <v>260</v>
      </c>
      <c r="AR83" s="174" t="s">
        <v>208</v>
      </c>
      <c r="AS83" s="191">
        <f t="shared" si="9"/>
        <v>976545.4400000001</v>
      </c>
      <c r="AT83" s="191">
        <v>13490528</v>
      </c>
      <c r="AU83" s="194">
        <v>-10031956</v>
      </c>
      <c r="AV83" s="191">
        <f t="shared" si="10"/>
        <v>3458572</v>
      </c>
      <c r="AW83" s="191">
        <f t="shared" si="11"/>
        <v>2482026.56</v>
      </c>
      <c r="AX83" s="237">
        <f t="shared" si="12"/>
        <v>0.11992633768300055</v>
      </c>
    </row>
    <row r="84" spans="1:50" s="156" customFormat="1" ht="37.5" customHeight="1">
      <c r="A84" s="186"/>
      <c r="B84" s="152">
        <v>3631</v>
      </c>
      <c r="C84" s="155" t="s">
        <v>256</v>
      </c>
      <c r="D84" s="159" t="s">
        <v>259</v>
      </c>
      <c r="E84" s="153"/>
      <c r="F84" s="153"/>
      <c r="G84" s="153"/>
      <c r="H84" s="153"/>
      <c r="I84" s="153"/>
      <c r="J84" s="153"/>
      <c r="K84" s="153"/>
      <c r="L84" s="153"/>
      <c r="M84" s="153">
        <v>58861.88</v>
      </c>
      <c r="N84" s="153"/>
      <c r="O84" s="153"/>
      <c r="P84" s="153"/>
      <c r="Q84" s="189">
        <v>58861.88</v>
      </c>
      <c r="R84" s="189">
        <v>2760150</v>
      </c>
      <c r="S84" s="185">
        <v>2701288.12</v>
      </c>
      <c r="T84" s="154">
        <v>0.9786743908845534</v>
      </c>
      <c r="U84" s="155"/>
      <c r="V84" s="152">
        <v>3631</v>
      </c>
      <c r="W84" s="155" t="s">
        <v>256</v>
      </c>
      <c r="X84" s="159" t="s">
        <v>259</v>
      </c>
      <c r="Y84" s="185">
        <v>0</v>
      </c>
      <c r="Z84" s="308">
        <v>0</v>
      </c>
      <c r="AA84" s="185">
        <v>10500</v>
      </c>
      <c r="AB84" s="185">
        <v>10500</v>
      </c>
      <c r="AC84" s="154"/>
      <c r="AE84" s="152">
        <v>3631</v>
      </c>
      <c r="AF84" s="155" t="s">
        <v>256</v>
      </c>
      <c r="AG84" s="159" t="s">
        <v>259</v>
      </c>
      <c r="AH84" s="158">
        <v>58861.88</v>
      </c>
      <c r="AI84" s="158">
        <v>756150</v>
      </c>
      <c r="AJ84" s="195">
        <v>2004000</v>
      </c>
      <c r="AK84" s="158">
        <v>2760150</v>
      </c>
      <c r="AL84" s="158">
        <v>2701288.12</v>
      </c>
      <c r="AM84" s="238">
        <v>0.10279862372416143</v>
      </c>
      <c r="AP84" s="152">
        <v>3631</v>
      </c>
      <c r="AQ84" s="155" t="s">
        <v>256</v>
      </c>
      <c r="AR84" s="159" t="s">
        <v>259</v>
      </c>
      <c r="AS84" s="158">
        <f t="shared" si="9"/>
        <v>58861.88</v>
      </c>
      <c r="AT84" s="158">
        <v>756150</v>
      </c>
      <c r="AU84" s="195">
        <v>2004000</v>
      </c>
      <c r="AV84" s="158">
        <f t="shared" si="10"/>
        <v>2760150</v>
      </c>
      <c r="AW84" s="158">
        <f t="shared" si="11"/>
        <v>2701288.12</v>
      </c>
      <c r="AX84" s="238">
        <f t="shared" si="12"/>
        <v>0.13052059815919043</v>
      </c>
    </row>
    <row r="85" spans="1:50" s="156" customFormat="1" ht="33" customHeight="1">
      <c r="A85" s="186"/>
      <c r="B85" s="173" t="s">
        <v>318</v>
      </c>
      <c r="C85" s="184" t="s">
        <v>265</v>
      </c>
      <c r="D85" s="174" t="s">
        <v>319</v>
      </c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175"/>
      <c r="P85" s="175"/>
      <c r="Q85" s="190">
        <v>0</v>
      </c>
      <c r="R85" s="190">
        <v>0</v>
      </c>
      <c r="S85" s="176">
        <v>0</v>
      </c>
      <c r="T85" s="177"/>
      <c r="U85" s="155"/>
      <c r="V85" s="173" t="s">
        <v>318</v>
      </c>
      <c r="W85" s="184" t="s">
        <v>265</v>
      </c>
      <c r="X85" s="174" t="s">
        <v>319</v>
      </c>
      <c r="Y85" s="176">
        <v>0</v>
      </c>
      <c r="Z85" s="307">
        <v>0</v>
      </c>
      <c r="AA85" s="176">
        <v>0</v>
      </c>
      <c r="AB85" s="176">
        <v>0</v>
      </c>
      <c r="AC85" s="177"/>
      <c r="AE85" s="173" t="s">
        <v>318</v>
      </c>
      <c r="AF85" s="184" t="s">
        <v>265</v>
      </c>
      <c r="AG85" s="174" t="s">
        <v>319</v>
      </c>
      <c r="AH85" s="191">
        <v>0</v>
      </c>
      <c r="AI85" s="191"/>
      <c r="AJ85" s="194">
        <v>0</v>
      </c>
      <c r="AK85" s="191">
        <v>0</v>
      </c>
      <c r="AL85" s="191">
        <v>0</v>
      </c>
      <c r="AM85" s="237">
        <v>0</v>
      </c>
      <c r="AP85" s="173" t="s">
        <v>318</v>
      </c>
      <c r="AQ85" s="184" t="s">
        <v>265</v>
      </c>
      <c r="AR85" s="174" t="s">
        <v>319</v>
      </c>
      <c r="AS85" s="191">
        <f t="shared" si="9"/>
        <v>0</v>
      </c>
      <c r="AT85" s="191"/>
      <c r="AU85" s="194">
        <v>0</v>
      </c>
      <c r="AV85" s="191">
        <f t="shared" si="10"/>
        <v>0</v>
      </c>
      <c r="AW85" s="191">
        <f t="shared" si="11"/>
        <v>0</v>
      </c>
      <c r="AX85" s="237">
        <f t="shared" si="12"/>
        <v>0</v>
      </c>
    </row>
    <row r="86" spans="1:50" s="156" customFormat="1" ht="40.5" customHeight="1">
      <c r="A86" s="186"/>
      <c r="B86" s="173">
        <v>3661</v>
      </c>
      <c r="C86" s="274" t="s">
        <v>265</v>
      </c>
      <c r="D86" s="174" t="s">
        <v>209</v>
      </c>
      <c r="E86" s="175"/>
      <c r="F86" s="175"/>
      <c r="G86" s="175">
        <v>58000</v>
      </c>
      <c r="H86" s="175"/>
      <c r="I86" s="175"/>
      <c r="J86" s="175"/>
      <c r="K86" s="175"/>
      <c r="L86" s="175"/>
      <c r="M86" s="175"/>
      <c r="N86" s="175"/>
      <c r="O86" s="175"/>
      <c r="P86" s="175"/>
      <c r="Q86" s="175">
        <v>58000</v>
      </c>
      <c r="R86" s="175">
        <v>1160500</v>
      </c>
      <c r="S86" s="176">
        <v>1102500</v>
      </c>
      <c r="T86" s="177">
        <v>0.950021542438604</v>
      </c>
      <c r="U86" s="155"/>
      <c r="V86" s="173">
        <v>3661</v>
      </c>
      <c r="W86" s="274" t="s">
        <v>265</v>
      </c>
      <c r="X86" s="174" t="s">
        <v>209</v>
      </c>
      <c r="Y86" s="176">
        <v>0</v>
      </c>
      <c r="Z86" s="307">
        <v>0</v>
      </c>
      <c r="AA86" s="176">
        <v>199750</v>
      </c>
      <c r="AB86" s="176">
        <v>199750</v>
      </c>
      <c r="AC86" s="177">
        <v>1</v>
      </c>
      <c r="AE86" s="173">
        <v>3661</v>
      </c>
      <c r="AF86" s="274" t="s">
        <v>265</v>
      </c>
      <c r="AG86" s="174" t="s">
        <v>209</v>
      </c>
      <c r="AH86" s="191">
        <v>58000</v>
      </c>
      <c r="AI86" s="191">
        <v>2862000</v>
      </c>
      <c r="AJ86" s="194">
        <v>-1701500</v>
      </c>
      <c r="AK86" s="191">
        <v>1160500</v>
      </c>
      <c r="AL86" s="191">
        <v>1102500</v>
      </c>
      <c r="AM86" s="237">
        <v>0.041956088214643306</v>
      </c>
      <c r="AP86" s="173">
        <v>3661</v>
      </c>
      <c r="AQ86" s="274" t="s">
        <v>265</v>
      </c>
      <c r="AR86" s="174" t="s">
        <v>209</v>
      </c>
      <c r="AS86" s="191">
        <f t="shared" si="9"/>
        <v>58000</v>
      </c>
      <c r="AT86" s="191">
        <v>2862000</v>
      </c>
      <c r="AU86" s="194">
        <v>-1701500</v>
      </c>
      <c r="AV86" s="191">
        <f t="shared" si="10"/>
        <v>1160500</v>
      </c>
      <c r="AW86" s="191">
        <f t="shared" si="11"/>
        <v>1102500</v>
      </c>
      <c r="AX86" s="237">
        <f t="shared" si="12"/>
        <v>0.05327049654759058</v>
      </c>
    </row>
    <row r="87" spans="1:50" s="156" customFormat="1" ht="23.25" customHeight="1">
      <c r="A87" s="186"/>
      <c r="B87" s="152" t="s">
        <v>401</v>
      </c>
      <c r="C87" s="274" t="s">
        <v>265</v>
      </c>
      <c r="D87" s="159" t="s">
        <v>402</v>
      </c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89">
        <v>0</v>
      </c>
      <c r="R87" s="189">
        <v>150000</v>
      </c>
      <c r="S87" s="185">
        <v>150000</v>
      </c>
      <c r="T87" s="154">
        <v>1</v>
      </c>
      <c r="U87" s="155"/>
      <c r="V87" s="152" t="s">
        <v>401</v>
      </c>
      <c r="W87" s="274" t="s">
        <v>265</v>
      </c>
      <c r="X87" s="159" t="s">
        <v>402</v>
      </c>
      <c r="Y87" s="185">
        <v>0</v>
      </c>
      <c r="Z87" s="308"/>
      <c r="AA87" s="185">
        <v>0</v>
      </c>
      <c r="AB87" s="185">
        <v>0</v>
      </c>
      <c r="AC87" s="154"/>
      <c r="AE87" s="152" t="s">
        <v>401</v>
      </c>
      <c r="AF87" s="274" t="s">
        <v>265</v>
      </c>
      <c r="AG87" s="159" t="s">
        <v>402</v>
      </c>
      <c r="AH87" s="158">
        <v>0</v>
      </c>
      <c r="AI87" s="158"/>
      <c r="AJ87" s="195">
        <v>150000</v>
      </c>
      <c r="AK87" s="158">
        <v>150000</v>
      </c>
      <c r="AL87" s="158">
        <v>150000</v>
      </c>
      <c r="AM87" s="238"/>
      <c r="AP87" s="152" t="s">
        <v>401</v>
      </c>
      <c r="AQ87" s="155" t="s">
        <v>265</v>
      </c>
      <c r="AR87" s="159" t="s">
        <v>402</v>
      </c>
      <c r="AS87" s="158">
        <f t="shared" si="9"/>
        <v>0</v>
      </c>
      <c r="AT87" s="158"/>
      <c r="AU87" s="195">
        <v>150000</v>
      </c>
      <c r="AV87" s="158">
        <f t="shared" si="10"/>
        <v>150000</v>
      </c>
      <c r="AW87" s="158">
        <f t="shared" si="11"/>
        <v>150000</v>
      </c>
      <c r="AX87" s="238"/>
    </row>
    <row r="88" spans="1:50" s="156" customFormat="1" ht="21" customHeight="1">
      <c r="A88" s="186"/>
      <c r="B88" s="173">
        <v>3711</v>
      </c>
      <c r="C88" s="184" t="s">
        <v>266</v>
      </c>
      <c r="D88" s="174" t="s">
        <v>210</v>
      </c>
      <c r="E88" s="175"/>
      <c r="F88" s="175">
        <v>1566</v>
      </c>
      <c r="G88" s="175">
        <v>2748</v>
      </c>
      <c r="H88" s="175">
        <v>32895.44</v>
      </c>
      <c r="I88" s="175">
        <v>12750</v>
      </c>
      <c r="J88" s="175"/>
      <c r="K88" s="175">
        <v>522</v>
      </c>
      <c r="L88" s="175">
        <v>174</v>
      </c>
      <c r="M88" s="175">
        <v>45151</v>
      </c>
      <c r="N88" s="175">
        <v>6087</v>
      </c>
      <c r="O88" s="175">
        <v>64901.3</v>
      </c>
      <c r="P88" s="175">
        <v>92107</v>
      </c>
      <c r="Q88" s="175">
        <v>258901.74</v>
      </c>
      <c r="R88" s="175">
        <v>514989</v>
      </c>
      <c r="S88" s="176">
        <v>256087.26</v>
      </c>
      <c r="T88" s="177">
        <v>0.4972674367802031</v>
      </c>
      <c r="U88" s="155"/>
      <c r="V88" s="173">
        <v>3711</v>
      </c>
      <c r="W88" s="184" t="s">
        <v>266</v>
      </c>
      <c r="X88" s="174" t="s">
        <v>210</v>
      </c>
      <c r="Y88" s="176">
        <v>92107</v>
      </c>
      <c r="Z88" s="307">
        <v>0.001921062923984442</v>
      </c>
      <c r="AA88" s="176">
        <v>59917</v>
      </c>
      <c r="AB88" s="176">
        <v>-32190</v>
      </c>
      <c r="AC88" s="177">
        <v>-1.6533977091786944</v>
      </c>
      <c r="AE88" s="173">
        <v>3711</v>
      </c>
      <c r="AF88" s="184" t="s">
        <v>266</v>
      </c>
      <c r="AG88" s="174" t="s">
        <v>210</v>
      </c>
      <c r="AH88" s="191">
        <v>258901.74</v>
      </c>
      <c r="AI88" s="191">
        <v>957500</v>
      </c>
      <c r="AJ88" s="194">
        <v>-442511</v>
      </c>
      <c r="AK88" s="191">
        <v>514989</v>
      </c>
      <c r="AL88" s="191">
        <v>256087.26</v>
      </c>
      <c r="AM88" s="237">
        <v>0.013250674910106529</v>
      </c>
      <c r="AP88" s="173">
        <v>3711</v>
      </c>
      <c r="AQ88" s="184" t="s">
        <v>266</v>
      </c>
      <c r="AR88" s="174" t="s">
        <v>403</v>
      </c>
      <c r="AS88" s="191">
        <f t="shared" si="9"/>
        <v>258901.74</v>
      </c>
      <c r="AT88" s="191">
        <v>957500</v>
      </c>
      <c r="AU88" s="194">
        <v>-442511</v>
      </c>
      <c r="AV88" s="191">
        <f t="shared" si="10"/>
        <v>514989</v>
      </c>
      <c r="AW88" s="191">
        <f t="shared" si="11"/>
        <v>256087.26</v>
      </c>
      <c r="AX88" s="237">
        <f>+AW88/$AL$99</f>
        <v>0.01237360136028293</v>
      </c>
    </row>
    <row r="89" spans="1:50" s="156" customFormat="1" ht="22.5" customHeight="1">
      <c r="A89" s="186"/>
      <c r="B89" s="173" t="s">
        <v>404</v>
      </c>
      <c r="C89" s="184" t="s">
        <v>266</v>
      </c>
      <c r="D89" s="174" t="s">
        <v>405</v>
      </c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>
        <v>9149</v>
      </c>
      <c r="P89" s="175"/>
      <c r="Q89" s="175">
        <v>9149</v>
      </c>
      <c r="R89" s="175">
        <v>105000</v>
      </c>
      <c r="S89" s="176">
        <v>95851</v>
      </c>
      <c r="T89" s="177">
        <v>0.9128666666666667</v>
      </c>
      <c r="U89" s="155"/>
      <c r="V89" s="173" t="s">
        <v>404</v>
      </c>
      <c r="W89" s="184" t="s">
        <v>266</v>
      </c>
      <c r="X89" s="174" t="s">
        <v>405</v>
      </c>
      <c r="Y89" s="176">
        <v>0</v>
      </c>
      <c r="Z89" s="307"/>
      <c r="AA89" s="176">
        <v>0</v>
      </c>
      <c r="AB89" s="176">
        <v>0</v>
      </c>
      <c r="AC89" s="177"/>
      <c r="AE89" s="173" t="s">
        <v>404</v>
      </c>
      <c r="AF89" s="184" t="s">
        <v>266</v>
      </c>
      <c r="AG89" s="174" t="s">
        <v>405</v>
      </c>
      <c r="AH89" s="191">
        <v>9149</v>
      </c>
      <c r="AI89" s="191"/>
      <c r="AJ89" s="195">
        <v>105000</v>
      </c>
      <c r="AK89" s="192">
        <v>105000</v>
      </c>
      <c r="AL89" s="192">
        <v>95851</v>
      </c>
      <c r="AM89" s="237"/>
      <c r="AP89" s="152" t="s">
        <v>404</v>
      </c>
      <c r="AQ89" s="155" t="s">
        <v>266</v>
      </c>
      <c r="AR89" s="159" t="s">
        <v>405</v>
      </c>
      <c r="AS89" s="192">
        <f t="shared" si="9"/>
        <v>9149</v>
      </c>
      <c r="AT89" s="192"/>
      <c r="AU89" s="195">
        <v>105000</v>
      </c>
      <c r="AV89" s="192">
        <f t="shared" si="10"/>
        <v>105000</v>
      </c>
      <c r="AW89" s="192">
        <f t="shared" si="11"/>
        <v>95851</v>
      </c>
      <c r="AX89" s="238"/>
    </row>
    <row r="90" spans="1:50" s="156" customFormat="1" ht="21" customHeight="1">
      <c r="A90" s="186"/>
      <c r="B90" s="152">
        <v>3721</v>
      </c>
      <c r="C90" s="155" t="s">
        <v>267</v>
      </c>
      <c r="D90" s="159" t="s">
        <v>211</v>
      </c>
      <c r="E90" s="153"/>
      <c r="F90" s="153">
        <v>69</v>
      </c>
      <c r="G90" s="153">
        <v>2308</v>
      </c>
      <c r="H90" s="153">
        <v>6829</v>
      </c>
      <c r="I90" s="153">
        <v>15497</v>
      </c>
      <c r="J90" s="153">
        <v>2638</v>
      </c>
      <c r="K90" s="153">
        <v>3083</v>
      </c>
      <c r="L90" s="153">
        <v>164</v>
      </c>
      <c r="M90" s="153">
        <v>8294</v>
      </c>
      <c r="N90" s="153"/>
      <c r="O90" s="153">
        <v>5062.18</v>
      </c>
      <c r="P90" s="153">
        <v>9168</v>
      </c>
      <c r="Q90" s="189">
        <v>53112.18</v>
      </c>
      <c r="R90" s="189">
        <v>225855</v>
      </c>
      <c r="S90" s="185">
        <v>172742.82</v>
      </c>
      <c r="T90" s="154">
        <v>0.7648394766553762</v>
      </c>
      <c r="U90" s="155"/>
      <c r="V90" s="152">
        <v>3721</v>
      </c>
      <c r="W90" s="155" t="s">
        <v>267</v>
      </c>
      <c r="X90" s="159" t="s">
        <v>211</v>
      </c>
      <c r="Y90" s="185">
        <v>9168</v>
      </c>
      <c r="Z90" s="308">
        <v>0.00019121570442082975</v>
      </c>
      <c r="AA90" s="185">
        <v>19469</v>
      </c>
      <c r="AB90" s="185">
        <v>10301</v>
      </c>
      <c r="AC90" s="154">
        <v>0.11661553439824301</v>
      </c>
      <c r="AE90" s="152">
        <v>3721</v>
      </c>
      <c r="AF90" s="155" t="s">
        <v>267</v>
      </c>
      <c r="AG90" s="159" t="s">
        <v>211</v>
      </c>
      <c r="AH90" s="158">
        <v>53112.18</v>
      </c>
      <c r="AI90" s="158">
        <v>382028</v>
      </c>
      <c r="AJ90" s="195">
        <v>-156173</v>
      </c>
      <c r="AK90" s="158">
        <v>225855</v>
      </c>
      <c r="AL90" s="191">
        <v>172742.82</v>
      </c>
      <c r="AM90" s="238">
        <v>0.006922690622329342</v>
      </c>
      <c r="AP90" s="152">
        <v>3721</v>
      </c>
      <c r="AQ90" s="155" t="s">
        <v>267</v>
      </c>
      <c r="AR90" s="159" t="s">
        <v>415</v>
      </c>
      <c r="AS90" s="158">
        <f t="shared" si="9"/>
        <v>53112.18</v>
      </c>
      <c r="AT90" s="158">
        <v>382028</v>
      </c>
      <c r="AU90" s="195">
        <v>-156173</v>
      </c>
      <c r="AV90" s="158">
        <f t="shared" si="10"/>
        <v>225855</v>
      </c>
      <c r="AW90" s="158">
        <f t="shared" si="11"/>
        <v>172742.82</v>
      </c>
      <c r="AX90" s="238">
        <f>+AW90/$AL$99</f>
        <v>0.008346572150957878</v>
      </c>
    </row>
    <row r="91" spans="1:50" s="156" customFormat="1" ht="21" customHeight="1">
      <c r="A91" s="186"/>
      <c r="B91" s="173">
        <v>3751</v>
      </c>
      <c r="C91" s="184" t="s">
        <v>269</v>
      </c>
      <c r="D91" s="174" t="s">
        <v>212</v>
      </c>
      <c r="E91" s="175"/>
      <c r="F91" s="175"/>
      <c r="G91" s="175"/>
      <c r="H91" s="175">
        <v>28564.36</v>
      </c>
      <c r="I91" s="175">
        <v>30330.48</v>
      </c>
      <c r="J91" s="175">
        <v>5252</v>
      </c>
      <c r="K91" s="175">
        <v>34840.94</v>
      </c>
      <c r="L91" s="175"/>
      <c r="M91" s="175">
        <v>107366.98</v>
      </c>
      <c r="N91" s="175">
        <v>4628.95</v>
      </c>
      <c r="O91" s="175">
        <v>9267.62</v>
      </c>
      <c r="P91" s="175">
        <v>61593.05</v>
      </c>
      <c r="Q91" s="190">
        <v>281844.38</v>
      </c>
      <c r="R91" s="190">
        <v>1931754</v>
      </c>
      <c r="S91" s="176">
        <v>1649909.62</v>
      </c>
      <c r="T91" s="177">
        <v>0.8540992383088116</v>
      </c>
      <c r="U91" s="155"/>
      <c r="V91" s="173">
        <v>3751</v>
      </c>
      <c r="W91" s="184" t="s">
        <v>269</v>
      </c>
      <c r="X91" s="174" t="s">
        <v>212</v>
      </c>
      <c r="Y91" s="176">
        <v>61593.05</v>
      </c>
      <c r="Z91" s="307">
        <v>0.001284637701044654</v>
      </c>
      <c r="AA91" s="176">
        <v>269380</v>
      </c>
      <c r="AB91" s="176">
        <v>207786.95</v>
      </c>
      <c r="AC91" s="177"/>
      <c r="AE91" s="173">
        <v>3751</v>
      </c>
      <c r="AF91" s="184" t="s">
        <v>269</v>
      </c>
      <c r="AG91" s="174" t="s">
        <v>212</v>
      </c>
      <c r="AH91" s="191">
        <v>281844.38</v>
      </c>
      <c r="AI91" s="191">
        <v>3280347</v>
      </c>
      <c r="AJ91" s="194">
        <v>-1348593</v>
      </c>
      <c r="AK91" s="191">
        <v>1931754</v>
      </c>
      <c r="AL91" s="192">
        <v>1649909.62</v>
      </c>
      <c r="AM91" s="237">
        <v>0.06513193378876875</v>
      </c>
      <c r="AP91" s="173">
        <v>3751</v>
      </c>
      <c r="AQ91" s="184" t="s">
        <v>269</v>
      </c>
      <c r="AR91" s="174" t="s">
        <v>212</v>
      </c>
      <c r="AS91" s="191">
        <f t="shared" si="9"/>
        <v>281844.38</v>
      </c>
      <c r="AT91" s="191">
        <v>3280347</v>
      </c>
      <c r="AU91" s="194">
        <v>-1348593</v>
      </c>
      <c r="AV91" s="191">
        <f t="shared" si="10"/>
        <v>1931754</v>
      </c>
      <c r="AW91" s="191">
        <f t="shared" si="11"/>
        <v>1649909.62</v>
      </c>
      <c r="AX91" s="237">
        <f>+AW91/$AL$99</f>
        <v>0.07972018568348888</v>
      </c>
    </row>
    <row r="92" spans="1:50" s="156" customFormat="1" ht="21" customHeight="1">
      <c r="A92" s="186"/>
      <c r="B92" s="152">
        <v>3761</v>
      </c>
      <c r="C92" s="155" t="s">
        <v>268</v>
      </c>
      <c r="D92" s="159" t="s">
        <v>213</v>
      </c>
      <c r="E92" s="153"/>
      <c r="F92" s="153"/>
      <c r="G92" s="153"/>
      <c r="H92" s="153"/>
      <c r="I92" s="153">
        <v>16260</v>
      </c>
      <c r="J92" s="153"/>
      <c r="K92" s="153"/>
      <c r="L92" s="153"/>
      <c r="M92" s="153"/>
      <c r="N92" s="153"/>
      <c r="O92" s="153">
        <v>17591.93</v>
      </c>
      <c r="P92" s="153"/>
      <c r="Q92" s="189">
        <v>33851.93</v>
      </c>
      <c r="R92" s="189">
        <v>790000</v>
      </c>
      <c r="S92" s="185">
        <v>756148.07</v>
      </c>
      <c r="T92" s="154">
        <v>0.9571494556962025</v>
      </c>
      <c r="U92" s="155"/>
      <c r="V92" s="152">
        <v>3761</v>
      </c>
      <c r="W92" s="155" t="s">
        <v>268</v>
      </c>
      <c r="X92" s="159" t="s">
        <v>213</v>
      </c>
      <c r="Y92" s="185">
        <v>0</v>
      </c>
      <c r="Z92" s="308">
        <v>0</v>
      </c>
      <c r="AA92" s="185">
        <v>88333</v>
      </c>
      <c r="AB92" s="185">
        <v>88333</v>
      </c>
      <c r="AC92" s="154">
        <v>0.7491116632885844</v>
      </c>
      <c r="AE92" s="152">
        <v>3761</v>
      </c>
      <c r="AF92" s="155" t="s">
        <v>268</v>
      </c>
      <c r="AG92" s="159" t="s">
        <v>213</v>
      </c>
      <c r="AH92" s="158">
        <v>33851.93</v>
      </c>
      <c r="AI92" s="158">
        <v>1263045</v>
      </c>
      <c r="AJ92" s="195">
        <v>-473045</v>
      </c>
      <c r="AK92" s="158">
        <v>790000</v>
      </c>
      <c r="AL92" s="191">
        <v>756148.07</v>
      </c>
      <c r="AM92" s="238">
        <v>0.028775523925852406</v>
      </c>
      <c r="AP92" s="152">
        <v>3761</v>
      </c>
      <c r="AQ92" s="155" t="s">
        <v>268</v>
      </c>
      <c r="AR92" s="159" t="s">
        <v>213</v>
      </c>
      <c r="AS92" s="158">
        <f t="shared" si="9"/>
        <v>33851.93</v>
      </c>
      <c r="AT92" s="158">
        <v>1263045</v>
      </c>
      <c r="AU92" s="195">
        <v>-473045</v>
      </c>
      <c r="AV92" s="158">
        <f t="shared" si="10"/>
        <v>790000</v>
      </c>
      <c r="AW92" s="158">
        <f t="shared" si="11"/>
        <v>756148.07</v>
      </c>
      <c r="AX92" s="238">
        <f>+AW92/$AL$99</f>
        <v>0.036535494922813855</v>
      </c>
    </row>
    <row r="93" spans="1:50" s="156" customFormat="1" ht="28.5" customHeight="1">
      <c r="A93" s="186"/>
      <c r="B93" s="173" t="s">
        <v>406</v>
      </c>
      <c r="C93" s="274" t="s">
        <v>416</v>
      </c>
      <c r="D93" s="174" t="s">
        <v>407</v>
      </c>
      <c r="E93" s="175"/>
      <c r="F93" s="175"/>
      <c r="G93" s="175"/>
      <c r="H93" s="175"/>
      <c r="I93" s="175"/>
      <c r="J93" s="175"/>
      <c r="K93" s="175"/>
      <c r="L93" s="175"/>
      <c r="M93" s="175"/>
      <c r="N93" s="175">
        <v>250</v>
      </c>
      <c r="O93" s="175">
        <v>679</v>
      </c>
      <c r="P93" s="175">
        <v>1533</v>
      </c>
      <c r="Q93" s="175">
        <v>2462</v>
      </c>
      <c r="R93" s="175">
        <v>4000</v>
      </c>
      <c r="S93" s="176">
        <v>1538</v>
      </c>
      <c r="T93" s="177">
        <v>0.3845</v>
      </c>
      <c r="U93" s="155"/>
      <c r="V93" s="173" t="s">
        <v>406</v>
      </c>
      <c r="W93" s="274" t="s">
        <v>416</v>
      </c>
      <c r="X93" s="174" t="s">
        <v>407</v>
      </c>
      <c r="Y93" s="176">
        <v>1533</v>
      </c>
      <c r="Z93" s="307"/>
      <c r="AA93" s="176">
        <v>0</v>
      </c>
      <c r="AB93" s="176">
        <v>-1533</v>
      </c>
      <c r="AC93" s="177"/>
      <c r="AE93" s="173" t="s">
        <v>406</v>
      </c>
      <c r="AF93" s="274" t="s">
        <v>416</v>
      </c>
      <c r="AG93" s="174" t="s">
        <v>407</v>
      </c>
      <c r="AH93" s="191">
        <v>2462</v>
      </c>
      <c r="AI93" s="191"/>
      <c r="AJ93" s="194">
        <v>4000</v>
      </c>
      <c r="AK93" s="191">
        <v>4000</v>
      </c>
      <c r="AL93" s="192">
        <v>1538</v>
      </c>
      <c r="AM93" s="237">
        <v>0.00011686816046001777</v>
      </c>
      <c r="AP93" s="173" t="s">
        <v>406</v>
      </c>
      <c r="AQ93" s="184" t="s">
        <v>416</v>
      </c>
      <c r="AR93" s="174" t="s">
        <v>407</v>
      </c>
      <c r="AS93" s="191">
        <f t="shared" si="9"/>
        <v>2462</v>
      </c>
      <c r="AT93" s="191"/>
      <c r="AU93" s="194">
        <v>4000</v>
      </c>
      <c r="AV93" s="191">
        <f t="shared" si="10"/>
        <v>4000</v>
      </c>
      <c r="AW93" s="191">
        <f t="shared" si="11"/>
        <v>1538</v>
      </c>
      <c r="AX93" s="237"/>
    </row>
    <row r="94" spans="1:50" s="156" customFormat="1" ht="21" customHeight="1">
      <c r="A94" s="186"/>
      <c r="B94" s="152">
        <v>3831</v>
      </c>
      <c r="C94" s="155" t="s">
        <v>270</v>
      </c>
      <c r="D94" s="159" t="s">
        <v>214</v>
      </c>
      <c r="E94" s="153"/>
      <c r="F94" s="153"/>
      <c r="G94" s="153">
        <v>3364</v>
      </c>
      <c r="H94" s="153">
        <v>65000</v>
      </c>
      <c r="I94" s="153">
        <v>34150.4</v>
      </c>
      <c r="J94" s="153">
        <v>118783.7</v>
      </c>
      <c r="K94" s="153">
        <v>58158.85</v>
      </c>
      <c r="L94" s="153">
        <v>12427</v>
      </c>
      <c r="M94" s="153">
        <v>31283</v>
      </c>
      <c r="N94" s="153">
        <v>11263.6</v>
      </c>
      <c r="O94" s="153">
        <v>239668.9</v>
      </c>
      <c r="P94" s="153">
        <v>512492.37</v>
      </c>
      <c r="Q94" s="153">
        <v>1086591.8199999998</v>
      </c>
      <c r="R94" s="153">
        <v>2556856</v>
      </c>
      <c r="S94" s="185">
        <v>1470264.1800000002</v>
      </c>
      <c r="T94" s="154">
        <v>0.575028151761382</v>
      </c>
      <c r="U94" s="155"/>
      <c r="V94" s="152">
        <v>3831</v>
      </c>
      <c r="W94" s="155" t="s">
        <v>270</v>
      </c>
      <c r="X94" s="159" t="s">
        <v>214</v>
      </c>
      <c r="Y94" s="185">
        <v>512492.37</v>
      </c>
      <c r="Z94" s="308">
        <v>0.010688982279652107</v>
      </c>
      <c r="AA94" s="185">
        <v>117917</v>
      </c>
      <c r="AB94" s="185">
        <v>-394575.37</v>
      </c>
      <c r="AC94" s="154"/>
      <c r="AE94" s="152">
        <v>3831</v>
      </c>
      <c r="AF94" s="155" t="s">
        <v>270</v>
      </c>
      <c r="AG94" s="159" t="s">
        <v>214</v>
      </c>
      <c r="AH94" s="192">
        <v>1086591.8199999998</v>
      </c>
      <c r="AI94" s="192">
        <v>4017049</v>
      </c>
      <c r="AJ94" s="195">
        <v>-1460194</v>
      </c>
      <c r="AK94" s="192">
        <v>2556855</v>
      </c>
      <c r="AL94" s="191">
        <v>1470263.1800000002</v>
      </c>
      <c r="AM94" s="238">
        <v>0.07545457302845679</v>
      </c>
      <c r="AP94" s="152">
        <v>3831</v>
      </c>
      <c r="AQ94" s="155" t="s">
        <v>270</v>
      </c>
      <c r="AR94" s="159" t="s">
        <v>214</v>
      </c>
      <c r="AS94" s="192">
        <f t="shared" si="9"/>
        <v>1086591.8199999998</v>
      </c>
      <c r="AT94" s="192">
        <v>4017049</v>
      </c>
      <c r="AU94" s="195">
        <v>-1460194</v>
      </c>
      <c r="AV94" s="192">
        <f t="shared" si="10"/>
        <v>2556855</v>
      </c>
      <c r="AW94" s="192">
        <f t="shared" si="11"/>
        <v>1470263.1800000002</v>
      </c>
      <c r="AX94" s="238">
        <f>+AW94/$AL$99</f>
        <v>0.071040045037859</v>
      </c>
    </row>
    <row r="95" spans="1:50" s="156" customFormat="1" ht="25.5" customHeight="1">
      <c r="A95" s="186"/>
      <c r="B95" s="173">
        <v>3921</v>
      </c>
      <c r="C95" s="274" t="s">
        <v>251</v>
      </c>
      <c r="D95" s="174" t="s">
        <v>215</v>
      </c>
      <c r="E95" s="175">
        <v>-0.09</v>
      </c>
      <c r="F95" s="175">
        <v>0.4</v>
      </c>
      <c r="G95" s="175">
        <v>1045.83</v>
      </c>
      <c r="H95" s="175">
        <v>5616.4</v>
      </c>
      <c r="I95" s="175"/>
      <c r="J95" s="175">
        <v>8315.75</v>
      </c>
      <c r="K95" s="175">
        <v>336.01</v>
      </c>
      <c r="L95" s="175">
        <v>33409.11</v>
      </c>
      <c r="M95" s="175">
        <v>113478.85</v>
      </c>
      <c r="N95" s="175">
        <v>46652.02</v>
      </c>
      <c r="O95" s="175">
        <v>15029.13</v>
      </c>
      <c r="P95" s="175">
        <v>3111180.0700000003</v>
      </c>
      <c r="Q95" s="175">
        <v>3335063.4800000004</v>
      </c>
      <c r="R95" s="175">
        <v>3707986</v>
      </c>
      <c r="S95" s="176">
        <v>372922.51999999955</v>
      </c>
      <c r="T95" s="177">
        <v>0.10057279612166808</v>
      </c>
      <c r="U95" s="155"/>
      <c r="V95" s="173">
        <v>3921</v>
      </c>
      <c r="W95" s="274" t="s">
        <v>251</v>
      </c>
      <c r="X95" s="174" t="s">
        <v>215</v>
      </c>
      <c r="Y95" s="176">
        <v>3111180.0700000003</v>
      </c>
      <c r="Z95" s="307">
        <v>0.06488945120692588</v>
      </c>
      <c r="AA95" s="176">
        <v>3325591</v>
      </c>
      <c r="AB95" s="176">
        <v>214410.9299999997</v>
      </c>
      <c r="AC95" s="177"/>
      <c r="AE95" s="173">
        <v>3921</v>
      </c>
      <c r="AF95" s="274" t="s">
        <v>251</v>
      </c>
      <c r="AG95" s="174" t="s">
        <v>215</v>
      </c>
      <c r="AH95" s="191">
        <v>3335063.4800000004</v>
      </c>
      <c r="AI95" s="191">
        <v>3368924</v>
      </c>
      <c r="AJ95" s="194">
        <v>339062</v>
      </c>
      <c r="AK95" s="191">
        <v>3707986</v>
      </c>
      <c r="AL95" s="192">
        <v>372922.51999999955</v>
      </c>
      <c r="AM95" s="237">
        <v>0.13258894840354396</v>
      </c>
      <c r="AP95" s="173">
        <v>3921</v>
      </c>
      <c r="AQ95" s="274" t="s">
        <v>417</v>
      </c>
      <c r="AR95" s="174" t="s">
        <v>215</v>
      </c>
      <c r="AS95" s="191">
        <f t="shared" si="9"/>
        <v>3335063.4800000004</v>
      </c>
      <c r="AT95" s="191">
        <v>3368924</v>
      </c>
      <c r="AU95" s="194">
        <v>339062</v>
      </c>
      <c r="AV95" s="191">
        <f t="shared" si="10"/>
        <v>3707986</v>
      </c>
      <c r="AW95" s="191">
        <f t="shared" si="11"/>
        <v>372922.51999999955</v>
      </c>
      <c r="AX95" s="237">
        <f>+AW95/$AL$99</f>
        <v>0.018018837019663267</v>
      </c>
    </row>
    <row r="96" spans="1:50" s="156" customFormat="1" ht="21" customHeight="1">
      <c r="A96" s="186"/>
      <c r="B96" s="152" t="s">
        <v>408</v>
      </c>
      <c r="C96" s="155" t="s">
        <v>223</v>
      </c>
      <c r="D96" s="159" t="s">
        <v>428</v>
      </c>
      <c r="E96" s="189"/>
      <c r="F96" s="189"/>
      <c r="G96" s="153"/>
      <c r="H96" s="153"/>
      <c r="I96" s="153"/>
      <c r="J96" s="153"/>
      <c r="K96" s="153"/>
      <c r="L96" s="153"/>
      <c r="M96" s="153"/>
      <c r="N96" s="153">
        <v>2133827.7800000003</v>
      </c>
      <c r="O96" s="153">
        <v>12395.85</v>
      </c>
      <c r="P96" s="153"/>
      <c r="Q96" s="189">
        <v>2146223.6300000004</v>
      </c>
      <c r="R96" s="189">
        <v>2500000</v>
      </c>
      <c r="S96" s="185">
        <v>353776.36999999965</v>
      </c>
      <c r="T96" s="154">
        <v>0.14151054799999985</v>
      </c>
      <c r="U96" s="155"/>
      <c r="V96" s="152" t="s">
        <v>408</v>
      </c>
      <c r="W96" s="155" t="s">
        <v>223</v>
      </c>
      <c r="X96" s="159" t="s">
        <v>428</v>
      </c>
      <c r="Y96" s="185">
        <v>0</v>
      </c>
      <c r="Z96" s="308"/>
      <c r="AA96" s="185">
        <v>0</v>
      </c>
      <c r="AB96" s="185">
        <v>0</v>
      </c>
      <c r="AC96" s="154"/>
      <c r="AE96" s="152" t="s">
        <v>408</v>
      </c>
      <c r="AF96" s="155" t="s">
        <v>223</v>
      </c>
      <c r="AG96" s="159" t="s">
        <v>428</v>
      </c>
      <c r="AH96" s="158">
        <v>2146223.6300000004</v>
      </c>
      <c r="AI96" s="158"/>
      <c r="AJ96" s="195">
        <v>2500000</v>
      </c>
      <c r="AK96" s="158">
        <v>2500000</v>
      </c>
      <c r="AL96" s="191">
        <v>353776.36999999965</v>
      </c>
      <c r="AM96" s="238"/>
      <c r="AP96" s="152" t="s">
        <v>408</v>
      </c>
      <c r="AQ96" s="155" t="s">
        <v>223</v>
      </c>
      <c r="AR96" s="159" t="s">
        <v>409</v>
      </c>
      <c r="AS96" s="158">
        <f>AH20</f>
        <v>0.1299999998882413</v>
      </c>
      <c r="AT96" s="158"/>
      <c r="AU96" s="195">
        <v>2500000</v>
      </c>
      <c r="AV96" s="158">
        <f t="shared" si="10"/>
        <v>2500000</v>
      </c>
      <c r="AW96" s="158">
        <f t="shared" si="11"/>
        <v>2499999.87</v>
      </c>
      <c r="AX96" s="238"/>
    </row>
    <row r="97" spans="1:50" s="156" customFormat="1" ht="21" customHeight="1">
      <c r="A97" s="186"/>
      <c r="B97" s="173">
        <v>3942</v>
      </c>
      <c r="C97" s="184"/>
      <c r="D97" s="174" t="s">
        <v>216</v>
      </c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90">
        <v>0</v>
      </c>
      <c r="R97" s="190">
        <v>0</v>
      </c>
      <c r="S97" s="176">
        <v>0</v>
      </c>
      <c r="T97" s="177"/>
      <c r="U97" s="155"/>
      <c r="V97" s="173">
        <v>3942</v>
      </c>
      <c r="W97" s="184"/>
      <c r="X97" s="174" t="s">
        <v>216</v>
      </c>
      <c r="Y97" s="176">
        <v>0</v>
      </c>
      <c r="Z97" s="307">
        <v>0</v>
      </c>
      <c r="AA97" s="176">
        <v>0</v>
      </c>
      <c r="AB97" s="176">
        <v>0</v>
      </c>
      <c r="AC97" s="177"/>
      <c r="AE97" s="173">
        <v>3942</v>
      </c>
      <c r="AF97" s="184"/>
      <c r="AG97" s="174" t="s">
        <v>216</v>
      </c>
      <c r="AH97" s="191">
        <v>0</v>
      </c>
      <c r="AI97" s="191"/>
      <c r="AJ97" s="194">
        <v>0</v>
      </c>
      <c r="AK97" s="191">
        <v>0</v>
      </c>
      <c r="AL97" s="192">
        <v>0</v>
      </c>
      <c r="AM97" s="237">
        <v>0</v>
      </c>
      <c r="AP97" s="173">
        <v>3942</v>
      </c>
      <c r="AQ97" s="184"/>
      <c r="AR97" s="174" t="s">
        <v>216</v>
      </c>
      <c r="AS97" s="191">
        <f t="shared" si="9"/>
        <v>0</v>
      </c>
      <c r="AT97" s="191"/>
      <c r="AU97" s="194">
        <v>0</v>
      </c>
      <c r="AV97" s="191">
        <f t="shared" si="10"/>
        <v>0</v>
      </c>
      <c r="AW97" s="191">
        <f t="shared" si="11"/>
        <v>0</v>
      </c>
      <c r="AX97" s="237">
        <f>+AW97/$AL$99</f>
        <v>0</v>
      </c>
    </row>
    <row r="98" spans="1:50" s="156" customFormat="1" ht="12.75" customHeight="1">
      <c r="A98" s="186"/>
      <c r="B98" s="152"/>
      <c r="C98" s="155"/>
      <c r="D98" s="240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85"/>
      <c r="T98" s="154"/>
      <c r="U98" s="155"/>
      <c r="V98" s="152"/>
      <c r="W98" s="155"/>
      <c r="X98" s="240"/>
      <c r="Y98" s="185"/>
      <c r="Z98" s="308"/>
      <c r="AA98" s="185"/>
      <c r="AB98" s="185"/>
      <c r="AC98" s="154"/>
      <c r="AE98" s="152"/>
      <c r="AF98" s="155"/>
      <c r="AG98" s="240"/>
      <c r="AH98" s="192"/>
      <c r="AI98" s="157"/>
      <c r="AJ98" s="195">
        <v>0</v>
      </c>
      <c r="AK98" s="157"/>
      <c r="AL98" s="157"/>
      <c r="AM98" s="238"/>
      <c r="AP98" s="152"/>
      <c r="AQ98" s="155"/>
      <c r="AR98" s="240"/>
      <c r="AS98" s="157"/>
      <c r="AT98" s="157"/>
      <c r="AU98" s="195">
        <v>0</v>
      </c>
      <c r="AV98" s="157"/>
      <c r="AW98" s="157"/>
      <c r="AX98" s="238"/>
    </row>
    <row r="99" spans="1:50" s="156" customFormat="1" ht="22.5" customHeight="1" thickBot="1">
      <c r="A99" s="186"/>
      <c r="B99" s="178">
        <v>3000</v>
      </c>
      <c r="C99" s="183"/>
      <c r="D99" s="179" t="s">
        <v>3</v>
      </c>
      <c r="E99" s="180">
        <f aca="true" t="shared" si="13" ref="E99:M99">SUM(E57:E98)</f>
        <v>418024.43999999994</v>
      </c>
      <c r="F99" s="180">
        <f t="shared" si="13"/>
        <v>807169.67</v>
      </c>
      <c r="G99" s="180">
        <f t="shared" si="13"/>
        <v>881488.9499999998</v>
      </c>
      <c r="H99" s="180">
        <f t="shared" si="13"/>
        <v>1009656.8299999998</v>
      </c>
      <c r="I99" s="180">
        <f t="shared" si="13"/>
        <v>581677.45</v>
      </c>
      <c r="J99" s="180">
        <f t="shared" si="13"/>
        <v>642472.7699999999</v>
      </c>
      <c r="K99" s="180">
        <f t="shared" si="13"/>
        <v>672733.3099999999</v>
      </c>
      <c r="L99" s="180">
        <f>SUM(L57:L98)</f>
        <v>1678710.84</v>
      </c>
      <c r="M99" s="180">
        <f t="shared" si="13"/>
        <v>2709444.25</v>
      </c>
      <c r="N99" s="180">
        <v>3145362.06</v>
      </c>
      <c r="O99" s="180">
        <v>1253627.8400000003</v>
      </c>
      <c r="P99" s="180">
        <v>5581214.470000001</v>
      </c>
      <c r="Q99" s="180">
        <v>19381582.88</v>
      </c>
      <c r="R99" s="180">
        <v>40077843</v>
      </c>
      <c r="S99" s="180">
        <v>20696255.12</v>
      </c>
      <c r="T99" s="181">
        <v>0.516401422102482</v>
      </c>
      <c r="U99" s="241"/>
      <c r="V99" s="178">
        <v>3000</v>
      </c>
      <c r="W99" s="183"/>
      <c r="X99" s="179" t="s">
        <v>3</v>
      </c>
      <c r="Y99" s="180">
        <v>5581214.470000001</v>
      </c>
      <c r="Z99" s="280">
        <v>0.11637464253162094</v>
      </c>
      <c r="AA99" s="180">
        <v>10070308</v>
      </c>
      <c r="AB99" s="180">
        <v>4489088.53</v>
      </c>
      <c r="AC99" s="181">
        <v>0.4457747002375697</v>
      </c>
      <c r="AE99" s="178">
        <v>3000</v>
      </c>
      <c r="AF99" s="183"/>
      <c r="AG99" s="179" t="s">
        <v>3</v>
      </c>
      <c r="AH99" s="284">
        <v>19381582.88</v>
      </c>
      <c r="AI99" s="284">
        <v>69254054</v>
      </c>
      <c r="AJ99" s="243">
        <v>-29176212</v>
      </c>
      <c r="AK99" s="284">
        <v>40077842</v>
      </c>
      <c r="AL99" s="284">
        <v>20696259.12</v>
      </c>
      <c r="AM99" s="244">
        <v>0.9771809353001042</v>
      </c>
      <c r="AP99" s="178">
        <v>3000</v>
      </c>
      <c r="AQ99" s="183"/>
      <c r="AR99" s="179" t="s">
        <v>3</v>
      </c>
      <c r="AS99" s="284">
        <f aca="true" t="shared" si="14" ref="AS99:AX99">SUM(AS57:AS98)</f>
        <v>17235359.38</v>
      </c>
      <c r="AT99" s="284">
        <f>SUM(AT57:AT98)</f>
        <v>69254054</v>
      </c>
      <c r="AU99" s="243">
        <f t="shared" si="14"/>
        <v>-29176212</v>
      </c>
      <c r="AV99" s="284">
        <f t="shared" si="14"/>
        <v>40077842</v>
      </c>
      <c r="AW99" s="284">
        <f t="shared" si="14"/>
        <v>22842482.62</v>
      </c>
      <c r="AX99" s="244">
        <f t="shared" si="14"/>
        <v>0.9709529453359493</v>
      </c>
    </row>
    <row r="100" spans="1:50" s="156" customFormat="1" ht="13.5" customHeight="1" thickTop="1">
      <c r="A100" s="186"/>
      <c r="B100" s="245"/>
      <c r="C100" s="241"/>
      <c r="D100" s="246"/>
      <c r="E100" s="277"/>
      <c r="F100" s="277"/>
      <c r="G100" s="277"/>
      <c r="H100" s="277"/>
      <c r="I100" s="277"/>
      <c r="J100" s="277"/>
      <c r="K100" s="277"/>
      <c r="L100" s="277"/>
      <c r="M100" s="277"/>
      <c r="N100" s="277"/>
      <c r="O100" s="277"/>
      <c r="P100" s="277"/>
      <c r="Q100" s="277"/>
      <c r="R100" s="277"/>
      <c r="S100" s="277"/>
      <c r="T100" s="248"/>
      <c r="U100" s="241"/>
      <c r="V100" s="245"/>
      <c r="W100" s="241"/>
      <c r="X100" s="246"/>
      <c r="Y100" s="277"/>
      <c r="Z100" s="309"/>
      <c r="AA100" s="277"/>
      <c r="AB100" s="277"/>
      <c r="AC100" s="248"/>
      <c r="AE100" s="245"/>
      <c r="AF100" s="241"/>
      <c r="AG100" s="246"/>
      <c r="AH100" s="277"/>
      <c r="AI100" s="277"/>
      <c r="AJ100" s="194">
        <v>0</v>
      </c>
      <c r="AK100" s="277"/>
      <c r="AL100" s="277"/>
      <c r="AM100" s="287"/>
      <c r="AP100" s="245"/>
      <c r="AQ100" s="241"/>
      <c r="AR100" s="246"/>
      <c r="AS100" s="277"/>
      <c r="AT100" s="277"/>
      <c r="AU100" s="194">
        <f>AV100-AT100</f>
        <v>0</v>
      </c>
      <c r="AV100" s="277"/>
      <c r="AW100" s="277"/>
      <c r="AX100" s="287"/>
    </row>
    <row r="101" spans="1:50" s="156" customFormat="1" ht="21.75" customHeight="1">
      <c r="A101" s="186"/>
      <c r="B101" s="173" t="s">
        <v>271</v>
      </c>
      <c r="C101" s="184" t="s">
        <v>364</v>
      </c>
      <c r="D101" s="174" t="s">
        <v>272</v>
      </c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90">
        <v>0</v>
      </c>
      <c r="R101" s="190">
        <v>182500</v>
      </c>
      <c r="S101" s="176">
        <v>182500</v>
      </c>
      <c r="T101" s="177">
        <v>1</v>
      </c>
      <c r="U101" s="155"/>
      <c r="V101" s="173" t="s">
        <v>271</v>
      </c>
      <c r="W101" s="184" t="s">
        <v>364</v>
      </c>
      <c r="X101" s="174" t="s">
        <v>272</v>
      </c>
      <c r="Y101" s="176">
        <v>0</v>
      </c>
      <c r="Z101" s="307">
        <v>0</v>
      </c>
      <c r="AA101" s="176">
        <v>0</v>
      </c>
      <c r="AB101" s="176">
        <v>0</v>
      </c>
      <c r="AC101" s="177"/>
      <c r="AE101" s="173" t="s">
        <v>271</v>
      </c>
      <c r="AF101" s="184" t="s">
        <v>364</v>
      </c>
      <c r="AG101" s="174" t="s">
        <v>272</v>
      </c>
      <c r="AH101" s="191">
        <v>0</v>
      </c>
      <c r="AI101" s="191">
        <v>316500</v>
      </c>
      <c r="AJ101" s="194">
        <v>-134000</v>
      </c>
      <c r="AK101" s="191">
        <v>182500</v>
      </c>
      <c r="AL101" s="191">
        <v>182500</v>
      </c>
      <c r="AM101" s="272">
        <v>0</v>
      </c>
      <c r="AP101" s="173" t="s">
        <v>271</v>
      </c>
      <c r="AQ101" s="184" t="s">
        <v>364</v>
      </c>
      <c r="AR101" s="174" t="s">
        <v>272</v>
      </c>
      <c r="AS101" s="191">
        <f aca="true" t="shared" si="15" ref="AS101:AS111">+AH101</f>
        <v>0</v>
      </c>
      <c r="AT101" s="191">
        <v>316500</v>
      </c>
      <c r="AU101" s="194">
        <v>-134000</v>
      </c>
      <c r="AV101" s="191">
        <f aca="true" t="shared" si="16" ref="AV101:AV111">SUM(AT101:AU101)</f>
        <v>182500</v>
      </c>
      <c r="AW101" s="191">
        <f aca="true" t="shared" si="17" ref="AW101:AW111">AV101-AS101</f>
        <v>182500</v>
      </c>
      <c r="AX101" s="272">
        <v>0</v>
      </c>
    </row>
    <row r="102" spans="1:50" s="156" customFormat="1" ht="21.75" customHeight="1">
      <c r="A102" s="186"/>
      <c r="B102" s="152" t="s">
        <v>274</v>
      </c>
      <c r="C102" s="155" t="s">
        <v>365</v>
      </c>
      <c r="D102" s="159" t="s">
        <v>273</v>
      </c>
      <c r="E102" s="277"/>
      <c r="F102" s="277"/>
      <c r="G102" s="277"/>
      <c r="H102" s="277"/>
      <c r="I102" s="277"/>
      <c r="J102" s="277"/>
      <c r="K102" s="277"/>
      <c r="L102" s="277"/>
      <c r="M102" s="277"/>
      <c r="N102" s="277"/>
      <c r="O102" s="277"/>
      <c r="P102" s="277"/>
      <c r="Q102" s="185">
        <v>0</v>
      </c>
      <c r="R102" s="185">
        <v>0</v>
      </c>
      <c r="S102" s="185">
        <v>0</v>
      </c>
      <c r="T102" s="154"/>
      <c r="U102" s="241"/>
      <c r="V102" s="152" t="s">
        <v>274</v>
      </c>
      <c r="W102" s="155" t="s">
        <v>365</v>
      </c>
      <c r="X102" s="159" t="s">
        <v>273</v>
      </c>
      <c r="Y102" s="185">
        <v>0</v>
      </c>
      <c r="Z102" s="308">
        <v>0</v>
      </c>
      <c r="AA102" s="185">
        <v>0</v>
      </c>
      <c r="AB102" s="185">
        <v>0</v>
      </c>
      <c r="AC102" s="154"/>
      <c r="AE102" s="152" t="s">
        <v>274</v>
      </c>
      <c r="AF102" s="155" t="s">
        <v>365</v>
      </c>
      <c r="AG102" s="159" t="s">
        <v>273</v>
      </c>
      <c r="AH102" s="192">
        <v>0</v>
      </c>
      <c r="AI102" s="195"/>
      <c r="AJ102" s="195">
        <v>0</v>
      </c>
      <c r="AK102" s="195">
        <v>0</v>
      </c>
      <c r="AL102" s="195">
        <v>0</v>
      </c>
      <c r="AM102" s="237">
        <v>0</v>
      </c>
      <c r="AP102" s="152" t="s">
        <v>274</v>
      </c>
      <c r="AQ102" s="155" t="s">
        <v>365</v>
      </c>
      <c r="AR102" s="159" t="s">
        <v>273</v>
      </c>
      <c r="AS102" s="157">
        <f t="shared" si="15"/>
        <v>0</v>
      </c>
      <c r="AT102" s="157"/>
      <c r="AU102" s="195">
        <v>0</v>
      </c>
      <c r="AV102" s="157">
        <f t="shared" si="16"/>
        <v>0</v>
      </c>
      <c r="AW102" s="157">
        <f t="shared" si="17"/>
        <v>0</v>
      </c>
      <c r="AX102" s="237">
        <f>AW102/$AL$112</f>
        <v>0</v>
      </c>
    </row>
    <row r="103" spans="1:50" s="156" customFormat="1" ht="21.75" customHeight="1">
      <c r="A103" s="186"/>
      <c r="B103" s="152" t="s">
        <v>275</v>
      </c>
      <c r="C103" s="155" t="s">
        <v>366</v>
      </c>
      <c r="D103" s="159" t="s">
        <v>276</v>
      </c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89">
        <v>0</v>
      </c>
      <c r="R103" s="189">
        <v>75000</v>
      </c>
      <c r="S103" s="185">
        <v>75000</v>
      </c>
      <c r="T103" s="154">
        <v>1</v>
      </c>
      <c r="U103" s="155"/>
      <c r="V103" s="152" t="s">
        <v>275</v>
      </c>
      <c r="W103" s="155" t="s">
        <v>366</v>
      </c>
      <c r="X103" s="159" t="s">
        <v>276</v>
      </c>
      <c r="Y103" s="185">
        <v>0</v>
      </c>
      <c r="Z103" s="308">
        <v>0</v>
      </c>
      <c r="AA103" s="185">
        <v>0</v>
      </c>
      <c r="AB103" s="185">
        <v>0</v>
      </c>
      <c r="AC103" s="154"/>
      <c r="AE103" s="152" t="s">
        <v>275</v>
      </c>
      <c r="AF103" s="155" t="s">
        <v>366</v>
      </c>
      <c r="AG103" s="159" t="s">
        <v>276</v>
      </c>
      <c r="AH103" s="192">
        <v>0</v>
      </c>
      <c r="AI103" s="192">
        <v>342690000</v>
      </c>
      <c r="AJ103" s="195">
        <v>-342615000</v>
      </c>
      <c r="AK103" s="192">
        <v>75000</v>
      </c>
      <c r="AL103" s="192">
        <v>75000</v>
      </c>
      <c r="AM103" s="238">
        <v>0</v>
      </c>
      <c r="AP103" s="152" t="s">
        <v>275</v>
      </c>
      <c r="AQ103" s="155" t="s">
        <v>366</v>
      </c>
      <c r="AR103" s="159" t="s">
        <v>410</v>
      </c>
      <c r="AS103" s="192">
        <f t="shared" si="15"/>
        <v>0</v>
      </c>
      <c r="AT103" s="192">
        <v>342690000</v>
      </c>
      <c r="AU103" s="195">
        <v>-342615000</v>
      </c>
      <c r="AV103" s="192">
        <f t="shared" si="16"/>
        <v>75000</v>
      </c>
      <c r="AW103" s="192">
        <f t="shared" si="17"/>
        <v>75000</v>
      </c>
      <c r="AX103" s="238">
        <v>0</v>
      </c>
    </row>
    <row r="104" spans="1:50" s="156" customFormat="1" ht="30" customHeight="1">
      <c r="A104" s="186"/>
      <c r="B104" s="173" t="s">
        <v>277</v>
      </c>
      <c r="C104" s="184" t="s">
        <v>364</v>
      </c>
      <c r="D104" s="174" t="s">
        <v>289</v>
      </c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90">
        <v>0</v>
      </c>
      <c r="R104" s="190">
        <v>36500</v>
      </c>
      <c r="S104" s="176">
        <v>36500</v>
      </c>
      <c r="T104" s="177">
        <v>1</v>
      </c>
      <c r="U104" s="155"/>
      <c r="V104" s="173" t="s">
        <v>277</v>
      </c>
      <c r="W104" s="184" t="s">
        <v>364</v>
      </c>
      <c r="X104" s="174" t="s">
        <v>289</v>
      </c>
      <c r="Y104" s="176">
        <v>0</v>
      </c>
      <c r="Z104" s="307">
        <v>0</v>
      </c>
      <c r="AA104" s="176">
        <v>0</v>
      </c>
      <c r="AB104" s="176">
        <v>0</v>
      </c>
      <c r="AC104" s="177"/>
      <c r="AE104" s="173" t="s">
        <v>277</v>
      </c>
      <c r="AF104" s="184" t="s">
        <v>364</v>
      </c>
      <c r="AG104" s="174" t="s">
        <v>289</v>
      </c>
      <c r="AH104" s="191">
        <v>0</v>
      </c>
      <c r="AI104" s="191">
        <v>63500</v>
      </c>
      <c r="AJ104" s="194">
        <v>-27000</v>
      </c>
      <c r="AK104" s="191">
        <v>36500</v>
      </c>
      <c r="AL104" s="191">
        <v>36500</v>
      </c>
      <c r="AM104" s="272">
        <v>0.02666573153964281</v>
      </c>
      <c r="AP104" s="173" t="s">
        <v>277</v>
      </c>
      <c r="AQ104" s="184" t="s">
        <v>364</v>
      </c>
      <c r="AR104" s="174" t="s">
        <v>289</v>
      </c>
      <c r="AS104" s="191">
        <f t="shared" si="15"/>
        <v>0</v>
      </c>
      <c r="AT104" s="191">
        <v>63500</v>
      </c>
      <c r="AU104" s="194">
        <v>-27000</v>
      </c>
      <c r="AV104" s="191">
        <f t="shared" si="16"/>
        <v>36500</v>
      </c>
      <c r="AW104" s="191">
        <f t="shared" si="17"/>
        <v>36500</v>
      </c>
      <c r="AX104" s="272">
        <f>AW104/$AL$112</f>
        <v>0.02666573153964281</v>
      </c>
    </row>
    <row r="105" spans="1:50" s="156" customFormat="1" ht="21.75" customHeight="1">
      <c r="A105" s="186"/>
      <c r="B105" s="152" t="s">
        <v>330</v>
      </c>
      <c r="C105" s="155" t="s">
        <v>367</v>
      </c>
      <c r="D105" s="159" t="s">
        <v>331</v>
      </c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89">
        <v>0</v>
      </c>
      <c r="R105" s="189">
        <v>60000</v>
      </c>
      <c r="S105" s="185">
        <v>60000</v>
      </c>
      <c r="T105" s="154">
        <v>1</v>
      </c>
      <c r="U105" s="155"/>
      <c r="V105" s="152" t="s">
        <v>330</v>
      </c>
      <c r="W105" s="155" t="s">
        <v>367</v>
      </c>
      <c r="X105" s="159" t="s">
        <v>331</v>
      </c>
      <c r="Y105" s="185">
        <v>0</v>
      </c>
      <c r="Z105" s="308">
        <v>0</v>
      </c>
      <c r="AA105" s="185">
        <v>0</v>
      </c>
      <c r="AB105" s="185">
        <v>0</v>
      </c>
      <c r="AC105" s="154"/>
      <c r="AE105" s="152" t="s">
        <v>330</v>
      </c>
      <c r="AF105" s="155" t="s">
        <v>367</v>
      </c>
      <c r="AG105" s="159" t="s">
        <v>331</v>
      </c>
      <c r="AH105" s="192">
        <v>0</v>
      </c>
      <c r="AI105" s="192">
        <v>120000</v>
      </c>
      <c r="AJ105" s="195">
        <v>-60000</v>
      </c>
      <c r="AK105" s="192">
        <v>60000</v>
      </c>
      <c r="AL105" s="192">
        <v>60000</v>
      </c>
      <c r="AM105" s="238">
        <v>0.043834079243248454</v>
      </c>
      <c r="AP105" s="152" t="s">
        <v>330</v>
      </c>
      <c r="AQ105" s="155" t="s">
        <v>367</v>
      </c>
      <c r="AR105" s="159" t="s">
        <v>331</v>
      </c>
      <c r="AS105" s="192">
        <f t="shared" si="15"/>
        <v>0</v>
      </c>
      <c r="AT105" s="192">
        <v>120000</v>
      </c>
      <c r="AU105" s="195">
        <v>-60000</v>
      </c>
      <c r="AV105" s="192">
        <f t="shared" si="16"/>
        <v>60000</v>
      </c>
      <c r="AW105" s="192">
        <f t="shared" si="17"/>
        <v>60000</v>
      </c>
      <c r="AX105" s="238">
        <f>AW105/$AL$112</f>
        <v>0.043834079243248454</v>
      </c>
    </row>
    <row r="106" spans="1:50" s="156" customFormat="1" ht="21.75" customHeight="1">
      <c r="A106" s="186"/>
      <c r="B106" s="152" t="s">
        <v>278</v>
      </c>
      <c r="C106" s="155" t="s">
        <v>368</v>
      </c>
      <c r="D106" s="159" t="s">
        <v>279</v>
      </c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85">
        <v>0</v>
      </c>
      <c r="R106" s="185"/>
      <c r="S106" s="185"/>
      <c r="T106" s="154"/>
      <c r="U106" s="155"/>
      <c r="V106" s="152" t="s">
        <v>278</v>
      </c>
      <c r="W106" s="155" t="s">
        <v>368</v>
      </c>
      <c r="X106" s="159" t="s">
        <v>279</v>
      </c>
      <c r="Y106" s="185">
        <v>0</v>
      </c>
      <c r="Z106" s="308">
        <v>0</v>
      </c>
      <c r="AA106" s="185">
        <v>0</v>
      </c>
      <c r="AB106" s="185">
        <v>0</v>
      </c>
      <c r="AC106" s="154"/>
      <c r="AE106" s="152" t="s">
        <v>278</v>
      </c>
      <c r="AF106" s="155" t="s">
        <v>368</v>
      </c>
      <c r="AG106" s="159" t="s">
        <v>279</v>
      </c>
      <c r="AH106" s="192">
        <v>0</v>
      </c>
      <c r="AI106" s="158"/>
      <c r="AJ106" s="195">
        <v>0</v>
      </c>
      <c r="AK106" s="195">
        <v>0</v>
      </c>
      <c r="AL106" s="195">
        <v>0</v>
      </c>
      <c r="AM106" s="238">
        <v>0</v>
      </c>
      <c r="AP106" s="152" t="s">
        <v>278</v>
      </c>
      <c r="AQ106" s="155" t="s">
        <v>368</v>
      </c>
      <c r="AR106" s="159" t="s">
        <v>279</v>
      </c>
      <c r="AS106" s="158">
        <f t="shared" si="15"/>
        <v>0</v>
      </c>
      <c r="AT106" s="158"/>
      <c r="AU106" s="195">
        <v>0</v>
      </c>
      <c r="AV106" s="158">
        <f t="shared" si="16"/>
        <v>0</v>
      </c>
      <c r="AW106" s="158">
        <f t="shared" si="17"/>
        <v>0</v>
      </c>
      <c r="AX106" s="238">
        <f>AW106/$AL$112</f>
        <v>0</v>
      </c>
    </row>
    <row r="107" spans="1:50" s="156" customFormat="1" ht="36.75" customHeight="1">
      <c r="A107" s="186"/>
      <c r="B107" s="173" t="s">
        <v>280</v>
      </c>
      <c r="C107" s="184"/>
      <c r="D107" s="174" t="s">
        <v>281</v>
      </c>
      <c r="E107" s="175"/>
      <c r="F107" s="175"/>
      <c r="G107" s="175"/>
      <c r="H107" s="175"/>
      <c r="I107" s="175"/>
      <c r="J107" s="175"/>
      <c r="K107" s="175"/>
      <c r="L107" s="175"/>
      <c r="M107" s="175"/>
      <c r="N107" s="175"/>
      <c r="O107" s="175"/>
      <c r="P107" s="175"/>
      <c r="Q107" s="190">
        <v>0</v>
      </c>
      <c r="R107" s="190">
        <v>220000</v>
      </c>
      <c r="S107" s="176">
        <v>220000</v>
      </c>
      <c r="T107" s="177">
        <v>1</v>
      </c>
      <c r="U107" s="155"/>
      <c r="V107" s="173" t="s">
        <v>280</v>
      </c>
      <c r="W107" s="184"/>
      <c r="X107" s="174" t="s">
        <v>281</v>
      </c>
      <c r="Y107" s="176">
        <v>0</v>
      </c>
      <c r="Z107" s="307">
        <v>0</v>
      </c>
      <c r="AA107" s="176">
        <v>0</v>
      </c>
      <c r="AB107" s="176">
        <v>0</v>
      </c>
      <c r="AC107" s="177"/>
      <c r="AE107" s="173" t="s">
        <v>280</v>
      </c>
      <c r="AF107" s="184"/>
      <c r="AG107" s="174" t="s">
        <v>281</v>
      </c>
      <c r="AH107" s="191">
        <v>0</v>
      </c>
      <c r="AI107" s="191">
        <v>220000</v>
      </c>
      <c r="AJ107" s="194">
        <v>0</v>
      </c>
      <c r="AK107" s="191">
        <v>220000</v>
      </c>
      <c r="AL107" s="191">
        <v>220000</v>
      </c>
      <c r="AM107" s="272">
        <v>0</v>
      </c>
      <c r="AP107" s="173" t="s">
        <v>280</v>
      </c>
      <c r="AQ107" s="184"/>
      <c r="AR107" s="174" t="s">
        <v>411</v>
      </c>
      <c r="AS107" s="191">
        <f t="shared" si="15"/>
        <v>0</v>
      </c>
      <c r="AT107" s="191">
        <v>220000</v>
      </c>
      <c r="AU107" s="194">
        <v>0</v>
      </c>
      <c r="AV107" s="191">
        <f t="shared" si="16"/>
        <v>220000</v>
      </c>
      <c r="AW107" s="191">
        <f t="shared" si="17"/>
        <v>220000</v>
      </c>
      <c r="AX107" s="272">
        <v>0</v>
      </c>
    </row>
    <row r="108" spans="1:50" s="156" customFormat="1" ht="21.75" customHeight="1">
      <c r="A108" s="186"/>
      <c r="B108" s="152" t="s">
        <v>332</v>
      </c>
      <c r="C108" s="155"/>
      <c r="D108" s="159" t="s">
        <v>363</v>
      </c>
      <c r="E108" s="277"/>
      <c r="F108" s="277"/>
      <c r="G108" s="277"/>
      <c r="H108" s="277"/>
      <c r="I108" s="277"/>
      <c r="J108" s="277"/>
      <c r="K108" s="277"/>
      <c r="L108" s="277"/>
      <c r="M108" s="277"/>
      <c r="N108" s="277"/>
      <c r="O108" s="277"/>
      <c r="P108" s="277"/>
      <c r="Q108" s="185">
        <v>0</v>
      </c>
      <c r="R108" s="185">
        <v>0</v>
      </c>
      <c r="S108" s="185">
        <v>0</v>
      </c>
      <c r="T108" s="154"/>
      <c r="U108" s="241"/>
      <c r="V108" s="152" t="s">
        <v>332</v>
      </c>
      <c r="W108" s="155"/>
      <c r="X108" s="159" t="s">
        <v>363</v>
      </c>
      <c r="Y108" s="185">
        <v>0</v>
      </c>
      <c r="Z108" s="308">
        <v>0</v>
      </c>
      <c r="AA108" s="185">
        <v>0</v>
      </c>
      <c r="AB108" s="185">
        <v>0</v>
      </c>
      <c r="AC108" s="154"/>
      <c r="AE108" s="152" t="s">
        <v>332</v>
      </c>
      <c r="AF108" s="155"/>
      <c r="AG108" s="159" t="s">
        <v>363</v>
      </c>
      <c r="AH108" s="192">
        <v>0</v>
      </c>
      <c r="AI108" s="157">
        <v>51917</v>
      </c>
      <c r="AJ108" s="195">
        <v>-51917</v>
      </c>
      <c r="AK108" s="195">
        <v>0</v>
      </c>
      <c r="AL108" s="195">
        <v>0</v>
      </c>
      <c r="AM108" s="238">
        <v>0</v>
      </c>
      <c r="AP108" s="152" t="s">
        <v>332</v>
      </c>
      <c r="AQ108" s="155"/>
      <c r="AR108" s="159" t="s">
        <v>363</v>
      </c>
      <c r="AS108" s="157">
        <f t="shared" si="15"/>
        <v>0</v>
      </c>
      <c r="AT108" s="157">
        <v>51917</v>
      </c>
      <c r="AU108" s="195">
        <v>-51917</v>
      </c>
      <c r="AV108" s="157">
        <f t="shared" si="16"/>
        <v>0</v>
      </c>
      <c r="AW108" s="157">
        <f t="shared" si="17"/>
        <v>0</v>
      </c>
      <c r="AX108" s="238">
        <f>AW108/$AL$112</f>
        <v>0</v>
      </c>
    </row>
    <row r="109" spans="1:50" s="156" customFormat="1" ht="21.75" customHeight="1">
      <c r="A109" s="186"/>
      <c r="B109" s="173">
        <v>5831</v>
      </c>
      <c r="C109" s="184"/>
      <c r="D109" s="174" t="s">
        <v>217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5"/>
      <c r="Q109" s="190">
        <v>0</v>
      </c>
      <c r="R109" s="190">
        <v>0</v>
      </c>
      <c r="S109" s="176">
        <v>0</v>
      </c>
      <c r="T109" s="177"/>
      <c r="U109" s="155"/>
      <c r="V109" s="173">
        <v>5831</v>
      </c>
      <c r="W109" s="184"/>
      <c r="X109" s="174" t="s">
        <v>217</v>
      </c>
      <c r="Y109" s="176">
        <v>0</v>
      </c>
      <c r="Z109" s="307">
        <v>0</v>
      </c>
      <c r="AA109" s="176">
        <v>0</v>
      </c>
      <c r="AB109" s="176">
        <v>0</v>
      </c>
      <c r="AC109" s="177"/>
      <c r="AE109" s="173">
        <v>5831</v>
      </c>
      <c r="AF109" s="184"/>
      <c r="AG109" s="174" t="s">
        <v>217</v>
      </c>
      <c r="AH109" s="191">
        <v>0</v>
      </c>
      <c r="AI109" s="191">
        <v>4500000</v>
      </c>
      <c r="AJ109" s="194">
        <v>-4500000</v>
      </c>
      <c r="AK109" s="191">
        <v>0</v>
      </c>
      <c r="AL109" s="191">
        <v>0</v>
      </c>
      <c r="AM109" s="272">
        <v>0</v>
      </c>
      <c r="AP109" s="173">
        <v>5831</v>
      </c>
      <c r="AQ109" s="184"/>
      <c r="AR109" s="174" t="s">
        <v>412</v>
      </c>
      <c r="AS109" s="191">
        <f t="shared" si="15"/>
        <v>0</v>
      </c>
      <c r="AT109" s="191">
        <v>4500000</v>
      </c>
      <c r="AU109" s="194">
        <v>-4500000</v>
      </c>
      <c r="AV109" s="191">
        <f t="shared" si="16"/>
        <v>0</v>
      </c>
      <c r="AW109" s="191">
        <f t="shared" si="17"/>
        <v>0</v>
      </c>
      <c r="AX109" s="272">
        <v>0</v>
      </c>
    </row>
    <row r="110" spans="1:50" s="156" customFormat="1" ht="21.75" customHeight="1">
      <c r="A110" s="186"/>
      <c r="B110" s="152" t="s">
        <v>282</v>
      </c>
      <c r="C110" s="155" t="s">
        <v>366</v>
      </c>
      <c r="D110" s="159" t="s">
        <v>283</v>
      </c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85">
        <v>0</v>
      </c>
      <c r="R110" s="185">
        <v>10500</v>
      </c>
      <c r="S110" s="185">
        <v>10500</v>
      </c>
      <c r="T110" s="154">
        <v>1</v>
      </c>
      <c r="U110" s="155"/>
      <c r="V110" s="152" t="s">
        <v>282</v>
      </c>
      <c r="W110" s="155" t="s">
        <v>366</v>
      </c>
      <c r="X110" s="159" t="s">
        <v>283</v>
      </c>
      <c r="Y110" s="185">
        <v>0</v>
      </c>
      <c r="Z110" s="308">
        <v>0</v>
      </c>
      <c r="AA110" s="185">
        <v>0</v>
      </c>
      <c r="AB110" s="185">
        <v>0</v>
      </c>
      <c r="AC110" s="154"/>
      <c r="AE110" s="152" t="s">
        <v>282</v>
      </c>
      <c r="AF110" s="155" t="s">
        <v>366</v>
      </c>
      <c r="AG110" s="159" t="s">
        <v>283</v>
      </c>
      <c r="AH110" s="192">
        <v>0</v>
      </c>
      <c r="AI110" s="158">
        <v>10500</v>
      </c>
      <c r="AJ110" s="195">
        <v>0</v>
      </c>
      <c r="AK110" s="158">
        <v>10500</v>
      </c>
      <c r="AL110" s="158">
        <v>10500</v>
      </c>
      <c r="AM110" s="238">
        <v>0.00767096386756848</v>
      </c>
      <c r="AP110" s="152" t="s">
        <v>282</v>
      </c>
      <c r="AQ110" s="155" t="s">
        <v>366</v>
      </c>
      <c r="AR110" s="159" t="s">
        <v>283</v>
      </c>
      <c r="AS110" s="158">
        <f t="shared" si="15"/>
        <v>0</v>
      </c>
      <c r="AT110" s="158">
        <v>10500</v>
      </c>
      <c r="AU110" s="195">
        <v>0</v>
      </c>
      <c r="AV110" s="158">
        <f t="shared" si="16"/>
        <v>10500</v>
      </c>
      <c r="AW110" s="158">
        <f t="shared" si="17"/>
        <v>10500</v>
      </c>
      <c r="AX110" s="238">
        <f>AW110/$AL$112</f>
        <v>0.00767096386756848</v>
      </c>
    </row>
    <row r="111" spans="1:50" s="156" customFormat="1" ht="21.75" customHeight="1">
      <c r="A111" s="186"/>
      <c r="B111" s="173">
        <v>5971</v>
      </c>
      <c r="C111" s="184" t="s">
        <v>366</v>
      </c>
      <c r="D111" s="174" t="s">
        <v>218</v>
      </c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90">
        <v>0</v>
      </c>
      <c r="R111" s="190">
        <v>784300</v>
      </c>
      <c r="S111" s="176">
        <v>784300</v>
      </c>
      <c r="T111" s="177">
        <v>1</v>
      </c>
      <c r="U111" s="155"/>
      <c r="V111" s="173">
        <v>5971</v>
      </c>
      <c r="W111" s="184" t="s">
        <v>366</v>
      </c>
      <c r="X111" s="174" t="s">
        <v>218</v>
      </c>
      <c r="Y111" s="176">
        <v>0</v>
      </c>
      <c r="Z111" s="307">
        <v>0</v>
      </c>
      <c r="AA111" s="176">
        <v>39167</v>
      </c>
      <c r="AB111" s="176">
        <v>39167</v>
      </c>
      <c r="AC111" s="177">
        <v>1</v>
      </c>
      <c r="AE111" s="173">
        <v>5971</v>
      </c>
      <c r="AF111" s="184" t="s">
        <v>366</v>
      </c>
      <c r="AG111" s="174" t="s">
        <v>218</v>
      </c>
      <c r="AH111" s="191">
        <v>0</v>
      </c>
      <c r="AI111" s="191">
        <v>814298</v>
      </c>
      <c r="AJ111" s="194">
        <v>-30000</v>
      </c>
      <c r="AK111" s="191">
        <v>784298</v>
      </c>
      <c r="AL111" s="191">
        <v>784298</v>
      </c>
      <c r="AM111" s="272">
        <v>0</v>
      </c>
      <c r="AP111" s="173">
        <v>5971</v>
      </c>
      <c r="AQ111" s="184" t="s">
        <v>366</v>
      </c>
      <c r="AR111" s="174" t="s">
        <v>218</v>
      </c>
      <c r="AS111" s="191">
        <f t="shared" si="15"/>
        <v>0</v>
      </c>
      <c r="AT111" s="191">
        <v>814298</v>
      </c>
      <c r="AU111" s="194">
        <v>-30000</v>
      </c>
      <c r="AV111" s="191">
        <f t="shared" si="16"/>
        <v>784298</v>
      </c>
      <c r="AW111" s="191">
        <f t="shared" si="17"/>
        <v>784298</v>
      </c>
      <c r="AX111" s="272">
        <v>0</v>
      </c>
    </row>
    <row r="112" spans="1:50" s="156" customFormat="1" ht="18" thickBot="1">
      <c r="A112" s="186"/>
      <c r="B112" s="178">
        <v>5000</v>
      </c>
      <c r="C112" s="183"/>
      <c r="D112" s="179" t="s">
        <v>90</v>
      </c>
      <c r="E112" s="180">
        <f aca="true" t="shared" si="18" ref="E112:M112">SUM(E109:E111)</f>
        <v>0</v>
      </c>
      <c r="F112" s="180">
        <f t="shared" si="18"/>
        <v>0</v>
      </c>
      <c r="G112" s="180">
        <f t="shared" si="18"/>
        <v>0</v>
      </c>
      <c r="H112" s="180">
        <f t="shared" si="18"/>
        <v>0</v>
      </c>
      <c r="I112" s="180">
        <f t="shared" si="18"/>
        <v>0</v>
      </c>
      <c r="J112" s="180">
        <f t="shared" si="18"/>
        <v>0</v>
      </c>
      <c r="K112" s="180">
        <f t="shared" si="18"/>
        <v>0</v>
      </c>
      <c r="L112" s="180">
        <f t="shared" si="18"/>
        <v>0</v>
      </c>
      <c r="M112" s="180">
        <f t="shared" si="18"/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1368800</v>
      </c>
      <c r="S112" s="180">
        <v>1368800</v>
      </c>
      <c r="T112" s="181">
        <v>1</v>
      </c>
      <c r="U112" s="241"/>
      <c r="V112" s="178">
        <v>5000</v>
      </c>
      <c r="W112" s="183"/>
      <c r="X112" s="179" t="s">
        <v>90</v>
      </c>
      <c r="Y112" s="180">
        <v>0</v>
      </c>
      <c r="Z112" s="280">
        <v>0</v>
      </c>
      <c r="AA112" s="180">
        <v>39167</v>
      </c>
      <c r="AB112" s="180">
        <v>39167</v>
      </c>
      <c r="AC112" s="181">
        <v>1</v>
      </c>
      <c r="AE112" s="178">
        <v>5000</v>
      </c>
      <c r="AF112" s="183"/>
      <c r="AG112" s="179" t="s">
        <v>90</v>
      </c>
      <c r="AH112" s="242">
        <v>0</v>
      </c>
      <c r="AI112" s="242">
        <v>348786715</v>
      </c>
      <c r="AJ112" s="243">
        <v>-347417917</v>
      </c>
      <c r="AK112" s="242">
        <v>1368798</v>
      </c>
      <c r="AL112" s="242">
        <v>1368798</v>
      </c>
      <c r="AM112" s="244">
        <v>0</v>
      </c>
      <c r="AP112" s="178">
        <v>5000</v>
      </c>
      <c r="AQ112" s="183"/>
      <c r="AR112" s="179" t="s">
        <v>90</v>
      </c>
      <c r="AS112" s="242">
        <f>SUM(AS101:AS111)</f>
        <v>0</v>
      </c>
      <c r="AT112" s="242">
        <f>SUM(AT101:AT111)</f>
        <v>348786715</v>
      </c>
      <c r="AU112" s="243">
        <f>SUM(AU101:AU111)</f>
        <v>-347417917</v>
      </c>
      <c r="AV112" s="242">
        <f>SUM(AV101:AV111)</f>
        <v>1368798</v>
      </c>
      <c r="AW112" s="242">
        <f>SUM(AW101:AW111)</f>
        <v>1368798</v>
      </c>
      <c r="AX112" s="244">
        <v>0</v>
      </c>
    </row>
    <row r="113" spans="1:50" s="156" customFormat="1" ht="18.75" thickBot="1" thickTop="1">
      <c r="A113" s="186"/>
      <c r="B113" s="178"/>
      <c r="C113" s="183"/>
      <c r="D113" s="288" t="s">
        <v>87</v>
      </c>
      <c r="E113" s="289">
        <f>E112+E99+E55+E29</f>
        <v>7601062.9799999995</v>
      </c>
      <c r="F113" s="289">
        <f aca="true" t="shared" si="19" ref="F113:M113">F112+F99+F55+F29</f>
        <v>8173062.819999999</v>
      </c>
      <c r="G113" s="289">
        <f t="shared" si="19"/>
        <v>10153386.47</v>
      </c>
      <c r="H113" s="289">
        <f t="shared" si="19"/>
        <v>8765777.84</v>
      </c>
      <c r="I113" s="289">
        <f t="shared" si="19"/>
        <v>7836975.860000001</v>
      </c>
      <c r="J113" s="289">
        <f t="shared" si="19"/>
        <v>8042534.09</v>
      </c>
      <c r="K113" s="289">
        <f t="shared" si="19"/>
        <v>7961846.07</v>
      </c>
      <c r="L113" s="289">
        <f t="shared" si="19"/>
        <v>9041757.37</v>
      </c>
      <c r="M113" s="289">
        <f t="shared" si="19"/>
        <v>13970633.91</v>
      </c>
      <c r="N113" s="289">
        <v>10666947.029999997</v>
      </c>
      <c r="O113" s="289">
        <v>10838418.149999999</v>
      </c>
      <c r="P113" s="289">
        <v>28458518.030000005</v>
      </c>
      <c r="Q113" s="289">
        <v>131510920.61999999</v>
      </c>
      <c r="R113" s="289">
        <v>172531739.5762537</v>
      </c>
      <c r="S113" s="289">
        <v>41020813.9562537</v>
      </c>
      <c r="T113" s="290">
        <v>0.23775807313484928</v>
      </c>
      <c r="U113" s="241"/>
      <c r="V113" s="178"/>
      <c r="W113" s="183"/>
      <c r="X113" s="288" t="s">
        <v>87</v>
      </c>
      <c r="Y113" s="289">
        <v>28458518.030000005</v>
      </c>
      <c r="Z113" s="291">
        <v>0.5933899726861276</v>
      </c>
      <c r="AA113" s="289">
        <v>41992955</v>
      </c>
      <c r="AB113" s="289">
        <v>13534429.969999999</v>
      </c>
      <c r="AC113" s="290">
        <v>0.32230239500887703</v>
      </c>
      <c r="AE113" s="178"/>
      <c r="AF113" s="183"/>
      <c r="AG113" s="288" t="s">
        <v>87</v>
      </c>
      <c r="AH113" s="242">
        <v>131510920.61999999</v>
      </c>
      <c r="AI113" s="242">
        <v>565318579.4237463</v>
      </c>
      <c r="AJ113" s="243">
        <v>-392786841.4237463</v>
      </c>
      <c r="AK113" s="242">
        <v>172531738</v>
      </c>
      <c r="AL113" s="242">
        <v>41020817.38000001</v>
      </c>
      <c r="AM113" s="244">
        <v>0.7809591249704972</v>
      </c>
      <c r="AP113" s="178"/>
      <c r="AQ113" s="183"/>
      <c r="AR113" s="288" t="s">
        <v>87</v>
      </c>
      <c r="AS113" s="242">
        <f>AS112+AS99+AS55+AS29</f>
        <v>129364696.99</v>
      </c>
      <c r="AT113" s="242">
        <f>AT112+AT99+AT55+AT29</f>
        <v>565318579.4237463</v>
      </c>
      <c r="AU113" s="243">
        <f>AU112+AU99+AU55+AU29</f>
        <v>-392786841.4237463</v>
      </c>
      <c r="AV113" s="242">
        <f>AV112+AV99+AV55+AV29+1</f>
        <v>172531738</v>
      </c>
      <c r="AW113" s="242">
        <f>AW112+AW99+AW55+AW29</f>
        <v>43167041.010000005</v>
      </c>
      <c r="AX113" s="244">
        <f>AW113/AW119</f>
        <v>0.999999969652774</v>
      </c>
    </row>
    <row r="114" spans="1:50" s="156" customFormat="1" ht="9" customHeight="1" thickTop="1">
      <c r="A114" s="186"/>
      <c r="B114" s="245"/>
      <c r="C114" s="241"/>
      <c r="D114" s="292"/>
      <c r="E114" s="277"/>
      <c r="F114" s="277"/>
      <c r="G114" s="277"/>
      <c r="H114" s="277"/>
      <c r="I114" s="277"/>
      <c r="J114" s="277"/>
      <c r="K114" s="277"/>
      <c r="L114" s="277"/>
      <c r="M114" s="277"/>
      <c r="N114" s="277"/>
      <c r="O114" s="277"/>
      <c r="P114" s="277"/>
      <c r="Q114" s="277"/>
      <c r="R114" s="277"/>
      <c r="S114" s="277"/>
      <c r="T114" s="248"/>
      <c r="U114" s="241"/>
      <c r="V114" s="245"/>
      <c r="W114" s="241"/>
      <c r="X114" s="292"/>
      <c r="Y114" s="277"/>
      <c r="Z114" s="309"/>
      <c r="AA114" s="277"/>
      <c r="AB114" s="277"/>
      <c r="AC114" s="248"/>
      <c r="AE114" s="245"/>
      <c r="AF114" s="241"/>
      <c r="AG114" s="292"/>
      <c r="AH114" s="277"/>
      <c r="AI114" s="277"/>
      <c r="AJ114" s="277"/>
      <c r="AK114" s="277"/>
      <c r="AL114" s="277"/>
      <c r="AM114" s="249"/>
      <c r="AP114" s="245"/>
      <c r="AQ114" s="241"/>
      <c r="AR114" s="292"/>
      <c r="AS114" s="277"/>
      <c r="AT114" s="277"/>
      <c r="AU114" s="277"/>
      <c r="AV114" s="277"/>
      <c r="AW114" s="277"/>
      <c r="AX114" s="249"/>
    </row>
    <row r="115" spans="1:50" s="156" customFormat="1" ht="21" customHeight="1">
      <c r="A115" s="186"/>
      <c r="B115" s="173" t="s">
        <v>103</v>
      </c>
      <c r="C115" s="184" t="s">
        <v>103</v>
      </c>
      <c r="D115" s="174" t="s">
        <v>7</v>
      </c>
      <c r="E115" s="191">
        <v>17488800.8</v>
      </c>
      <c r="F115" s="175">
        <v>20412880.94</v>
      </c>
      <c r="G115" s="175">
        <v>18950840.47</v>
      </c>
      <c r="H115" s="175">
        <v>18950840.47</v>
      </c>
      <c r="I115" s="175">
        <v>18950840.47</v>
      </c>
      <c r="J115" s="175">
        <v>18950840.87</v>
      </c>
      <c r="K115" s="175">
        <v>18950840.87</v>
      </c>
      <c r="L115" s="175">
        <v>18950840.87</v>
      </c>
      <c r="M115" s="175">
        <v>18950840.87</v>
      </c>
      <c r="N115" s="175">
        <v>18950840.89</v>
      </c>
      <c r="O115" s="175">
        <v>18950840.89</v>
      </c>
      <c r="P115" s="175">
        <v>18950840.89</v>
      </c>
      <c r="Q115" s="175">
        <v>227410090.3</v>
      </c>
      <c r="R115" s="175">
        <v>227410091</v>
      </c>
      <c r="S115" s="176">
        <v>0.09999998807907107</v>
      </c>
      <c r="T115" s="177">
        <v>4.3973417203843897E-10</v>
      </c>
      <c r="U115" s="155"/>
      <c r="V115" s="173" t="s">
        <v>103</v>
      </c>
      <c r="W115" s="184" t="s">
        <v>103</v>
      </c>
      <c r="X115" s="174" t="s">
        <v>7</v>
      </c>
      <c r="Y115" s="176">
        <v>18950840.89</v>
      </c>
      <c r="Z115" s="307">
        <v>0.39525506000746224</v>
      </c>
      <c r="AA115" s="176">
        <v>18950841</v>
      </c>
      <c r="AB115" s="176">
        <v>0.10999999940395355</v>
      </c>
      <c r="AC115" s="177">
        <v>5.804491705880154E-09</v>
      </c>
      <c r="AE115" s="173" t="s">
        <v>103</v>
      </c>
      <c r="AF115" s="184" t="s">
        <v>103</v>
      </c>
      <c r="AG115" s="174" t="s">
        <v>7</v>
      </c>
      <c r="AH115" s="191">
        <v>227410090.3</v>
      </c>
      <c r="AI115" s="191">
        <v>227410091</v>
      </c>
      <c r="AJ115" s="194">
        <v>0</v>
      </c>
      <c r="AK115" s="191">
        <v>227410091</v>
      </c>
      <c r="AL115" s="191">
        <v>0.699999988079071</v>
      </c>
      <c r="AM115" s="237">
        <v>0.9724694876090667</v>
      </c>
      <c r="AP115" s="173" t="s">
        <v>103</v>
      </c>
      <c r="AQ115" s="184" t="s">
        <v>103</v>
      </c>
      <c r="AR115" s="174" t="s">
        <v>7</v>
      </c>
      <c r="AS115" s="191">
        <f>+AH115</f>
        <v>227410090.3</v>
      </c>
      <c r="AT115" s="191">
        <v>227410091</v>
      </c>
      <c r="AU115" s="194">
        <v>0</v>
      </c>
      <c r="AV115" s="191">
        <f>SUM(AT115:AU115)</f>
        <v>227410091</v>
      </c>
      <c r="AW115" s="191">
        <f>AV115-AS115</f>
        <v>0.699999988079071</v>
      </c>
      <c r="AX115" s="237">
        <f>+AW115/AW118</f>
        <v>0.5343511414238049</v>
      </c>
    </row>
    <row r="116" spans="1:50" s="156" customFormat="1" ht="21" customHeight="1">
      <c r="A116" s="186"/>
      <c r="B116" s="152" t="s">
        <v>104</v>
      </c>
      <c r="C116" s="155" t="s">
        <v>104</v>
      </c>
      <c r="D116" s="240" t="s">
        <v>48</v>
      </c>
      <c r="E116" s="193">
        <v>495103.75</v>
      </c>
      <c r="F116" s="153">
        <v>577880.81</v>
      </c>
      <c r="G116" s="153">
        <v>536493.78</v>
      </c>
      <c r="H116" s="153">
        <v>536493.78</v>
      </c>
      <c r="I116" s="153">
        <v>536493.78</v>
      </c>
      <c r="J116" s="153">
        <v>536493.78</v>
      </c>
      <c r="K116" s="153">
        <v>536493.78</v>
      </c>
      <c r="L116" s="153">
        <v>536493.78</v>
      </c>
      <c r="M116" s="153">
        <v>536493.78</v>
      </c>
      <c r="N116" s="153">
        <v>536493.79</v>
      </c>
      <c r="O116" s="153">
        <v>536493.79</v>
      </c>
      <c r="P116" s="153">
        <v>536493.79</v>
      </c>
      <c r="Q116" s="185">
        <v>6437922.3900000015</v>
      </c>
      <c r="R116" s="185">
        <v>6437923</v>
      </c>
      <c r="S116" s="153">
        <v>0.609999998472631</v>
      </c>
      <c r="T116" s="154">
        <v>9.475105534387891E-08</v>
      </c>
      <c r="U116" s="155"/>
      <c r="V116" s="152" t="s">
        <v>104</v>
      </c>
      <c r="W116" s="155" t="s">
        <v>104</v>
      </c>
      <c r="X116" s="240" t="s">
        <v>48</v>
      </c>
      <c r="Y116" s="185">
        <v>536493.79</v>
      </c>
      <c r="Z116" s="308">
        <v>0.011189576567653873</v>
      </c>
      <c r="AA116" s="185">
        <v>536493</v>
      </c>
      <c r="AB116" s="185">
        <v>-0.7900000000372529</v>
      </c>
      <c r="AC116" s="154">
        <v>-1.4725262026480362E-06</v>
      </c>
      <c r="AE116" s="152" t="s">
        <v>104</v>
      </c>
      <c r="AF116" s="155" t="s">
        <v>104</v>
      </c>
      <c r="AG116" s="240" t="s">
        <v>48</v>
      </c>
      <c r="AH116" s="157">
        <v>6437924.3900000015</v>
      </c>
      <c r="AI116" s="157">
        <v>6437925</v>
      </c>
      <c r="AJ116" s="278">
        <v>0</v>
      </c>
      <c r="AK116" s="157">
        <v>6437925</v>
      </c>
      <c r="AL116" s="157">
        <v>0.609999998472631</v>
      </c>
      <c r="AM116" s="238">
        <v>0.02753051239093325</v>
      </c>
      <c r="AN116" s="293"/>
      <c r="AP116" s="152" t="s">
        <v>104</v>
      </c>
      <c r="AQ116" s="155" t="s">
        <v>104</v>
      </c>
      <c r="AR116" s="240" t="s">
        <v>48</v>
      </c>
      <c r="AS116" s="157">
        <f>+AH116</f>
        <v>6437924.3900000015</v>
      </c>
      <c r="AT116" s="157">
        <v>6437925</v>
      </c>
      <c r="AU116" s="278">
        <v>0</v>
      </c>
      <c r="AV116" s="157">
        <f>SUM(AT116:AU116)</f>
        <v>6437925</v>
      </c>
      <c r="AW116" s="157">
        <f>AV116-AS116</f>
        <v>0.609999998472631</v>
      </c>
      <c r="AX116" s="238">
        <f>+AW116/AW118</f>
        <v>0.4656488585761951</v>
      </c>
    </row>
    <row r="117" spans="1:50" s="156" customFormat="1" ht="24" customHeight="1">
      <c r="A117" s="186"/>
      <c r="B117" s="173" t="s">
        <v>170</v>
      </c>
      <c r="C117" s="184"/>
      <c r="D117" s="174" t="s">
        <v>49</v>
      </c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>
        <v>0</v>
      </c>
      <c r="R117" s="175">
        <v>0</v>
      </c>
      <c r="S117" s="176">
        <v>0</v>
      </c>
      <c r="T117" s="177"/>
      <c r="U117" s="155"/>
      <c r="V117" s="173" t="s">
        <v>170</v>
      </c>
      <c r="W117" s="184"/>
      <c r="X117" s="174" t="s">
        <v>49</v>
      </c>
      <c r="Y117" s="176"/>
      <c r="Z117" s="310"/>
      <c r="AA117" s="176">
        <v>0</v>
      </c>
      <c r="AB117" s="176"/>
      <c r="AC117" s="177"/>
      <c r="AE117" s="173" t="s">
        <v>170</v>
      </c>
      <c r="AF117" s="184"/>
      <c r="AG117" s="174" t="s">
        <v>49</v>
      </c>
      <c r="AH117" s="191"/>
      <c r="AI117" s="191"/>
      <c r="AJ117" s="194"/>
      <c r="AK117" s="191"/>
      <c r="AL117" s="191"/>
      <c r="AM117" s="237"/>
      <c r="AP117" s="173" t="s">
        <v>170</v>
      </c>
      <c r="AQ117" s="184"/>
      <c r="AR117" s="174" t="s">
        <v>49</v>
      </c>
      <c r="AS117" s="191"/>
      <c r="AT117" s="191"/>
      <c r="AU117" s="194"/>
      <c r="AV117" s="191"/>
      <c r="AW117" s="191"/>
      <c r="AX117" s="237"/>
    </row>
    <row r="118" spans="1:50" s="156" customFormat="1" ht="18" thickBot="1">
      <c r="A118" s="186">
        <v>1</v>
      </c>
      <c r="B118" s="178"/>
      <c r="C118" s="183"/>
      <c r="D118" s="179" t="s">
        <v>88</v>
      </c>
      <c r="E118" s="180">
        <f aca="true" t="shared" si="20" ref="E118:M118">SUM(E115:E117)</f>
        <v>17983904.55</v>
      </c>
      <c r="F118" s="180">
        <f t="shared" si="20"/>
        <v>20990761.75</v>
      </c>
      <c r="G118" s="180">
        <f t="shared" si="20"/>
        <v>19487334.25</v>
      </c>
      <c r="H118" s="180">
        <f t="shared" si="20"/>
        <v>19487334.25</v>
      </c>
      <c r="I118" s="180">
        <f t="shared" si="20"/>
        <v>19487334.25</v>
      </c>
      <c r="J118" s="180">
        <f t="shared" si="20"/>
        <v>19487334.650000002</v>
      </c>
      <c r="K118" s="180">
        <f t="shared" si="20"/>
        <v>19487334.650000002</v>
      </c>
      <c r="L118" s="180">
        <f t="shared" si="20"/>
        <v>19487334.650000002</v>
      </c>
      <c r="M118" s="180">
        <f t="shared" si="20"/>
        <v>19487334.650000002</v>
      </c>
      <c r="N118" s="180">
        <v>19487334.68</v>
      </c>
      <c r="O118" s="180">
        <v>19487334.68</v>
      </c>
      <c r="P118" s="180">
        <v>19487334.68</v>
      </c>
      <c r="Q118" s="180">
        <v>233848012.69000003</v>
      </c>
      <c r="R118" s="180">
        <v>233848014</v>
      </c>
      <c r="S118" s="180">
        <v>-0.29000001344829796</v>
      </c>
      <c r="T118" s="181">
        <v>-1.2401217717773645E-09</v>
      </c>
      <c r="U118" s="241"/>
      <c r="V118" s="178"/>
      <c r="W118" s="183"/>
      <c r="X118" s="179" t="s">
        <v>88</v>
      </c>
      <c r="Y118" s="294">
        <v>19487334.68</v>
      </c>
      <c r="Z118" s="279">
        <v>0.4064446365751161</v>
      </c>
      <c r="AA118" s="294">
        <v>19487334</v>
      </c>
      <c r="AB118" s="294">
        <v>-0.6800000006332994</v>
      </c>
      <c r="AC118" s="181">
        <v>-3.4894460198265157E-08</v>
      </c>
      <c r="AE118" s="178"/>
      <c r="AF118" s="183"/>
      <c r="AG118" s="179" t="s">
        <v>88</v>
      </c>
      <c r="AH118" s="284">
        <v>233848014.69000003</v>
      </c>
      <c r="AI118" s="284">
        <v>233848016</v>
      </c>
      <c r="AJ118" s="284">
        <v>0</v>
      </c>
      <c r="AK118" s="284">
        <v>233848016</v>
      </c>
      <c r="AL118" s="284">
        <v>1.309999986551702</v>
      </c>
      <c r="AM118" s="244">
        <v>1</v>
      </c>
      <c r="AP118" s="178"/>
      <c r="AQ118" s="183"/>
      <c r="AR118" s="179" t="s">
        <v>88</v>
      </c>
      <c r="AS118" s="284">
        <f aca="true" t="shared" si="21" ref="AS118:AX118">SUM(AS115:AS117)</f>
        <v>233848014.69000003</v>
      </c>
      <c r="AT118" s="284">
        <f t="shared" si="21"/>
        <v>233848016</v>
      </c>
      <c r="AU118" s="284">
        <f t="shared" si="21"/>
        <v>0</v>
      </c>
      <c r="AV118" s="284">
        <f t="shared" si="21"/>
        <v>233848016</v>
      </c>
      <c r="AW118" s="284">
        <f t="shared" si="21"/>
        <v>1.309999986551702</v>
      </c>
      <c r="AX118" s="244">
        <f t="shared" si="21"/>
        <v>1</v>
      </c>
    </row>
    <row r="119" spans="1:50" s="156" customFormat="1" ht="18.75" thickBot="1" thickTop="1">
      <c r="A119" s="186"/>
      <c r="B119" s="343" t="s">
        <v>144</v>
      </c>
      <c r="C119" s="344"/>
      <c r="D119" s="344"/>
      <c r="E119" s="289">
        <f aca="true" t="shared" si="22" ref="E119:M119">E113+E118</f>
        <v>25584967.53</v>
      </c>
      <c r="F119" s="289">
        <f t="shared" si="22"/>
        <v>29163824.57</v>
      </c>
      <c r="G119" s="289">
        <f t="shared" si="22"/>
        <v>29640720.72</v>
      </c>
      <c r="H119" s="289">
        <f t="shared" si="22"/>
        <v>28253112.09</v>
      </c>
      <c r="I119" s="289">
        <f t="shared" si="22"/>
        <v>27324310.11</v>
      </c>
      <c r="J119" s="289">
        <f t="shared" si="22"/>
        <v>27529868.740000002</v>
      </c>
      <c r="K119" s="289">
        <f t="shared" si="22"/>
        <v>27449180.720000003</v>
      </c>
      <c r="L119" s="289">
        <f t="shared" si="22"/>
        <v>28529092.020000003</v>
      </c>
      <c r="M119" s="289">
        <f t="shared" si="22"/>
        <v>33457968.560000002</v>
      </c>
      <c r="N119" s="289">
        <v>30154281.709999997</v>
      </c>
      <c r="O119" s="289">
        <v>30325752.83</v>
      </c>
      <c r="P119" s="289">
        <v>47945852.71000001</v>
      </c>
      <c r="Q119" s="289">
        <v>365358933.31</v>
      </c>
      <c r="R119" s="289">
        <v>406379753.5762537</v>
      </c>
      <c r="S119" s="289">
        <v>41020813.666253686</v>
      </c>
      <c r="T119" s="290">
        <v>0.10094207033017573</v>
      </c>
      <c r="U119" s="241"/>
      <c r="V119" s="343" t="s">
        <v>144</v>
      </c>
      <c r="W119" s="344"/>
      <c r="X119" s="344"/>
      <c r="Y119" s="289">
        <v>47945852.71000001</v>
      </c>
      <c r="Z119" s="311">
        <v>0.9998346092612437</v>
      </c>
      <c r="AA119" s="289">
        <v>61480289</v>
      </c>
      <c r="AB119" s="289">
        <v>13534429.29</v>
      </c>
      <c r="AC119" s="290">
        <v>0.22014257756660838</v>
      </c>
      <c r="AE119" s="343" t="s">
        <v>144</v>
      </c>
      <c r="AF119" s="344"/>
      <c r="AG119" s="344"/>
      <c r="AH119" s="295">
        <v>365358935.31</v>
      </c>
      <c r="AI119" s="289">
        <v>799166595.4237463</v>
      </c>
      <c r="AJ119" s="243">
        <v>-392786841.4237463</v>
      </c>
      <c r="AK119" s="289">
        <v>406379754</v>
      </c>
      <c r="AL119" s="289">
        <f>AL113+AL118</f>
        <v>41020818.69</v>
      </c>
      <c r="AM119" s="244"/>
      <c r="AP119" s="343" t="s">
        <v>144</v>
      </c>
      <c r="AQ119" s="344"/>
      <c r="AR119" s="344"/>
      <c r="AS119" s="289">
        <f>AS113+AS118</f>
        <v>363212711.68</v>
      </c>
      <c r="AT119" s="289">
        <f>AT113+AT118</f>
        <v>799166595.4237463</v>
      </c>
      <c r="AU119" s="243">
        <f>AU113+AU118</f>
        <v>-392786841.4237463</v>
      </c>
      <c r="AV119" s="289">
        <f>AV113+AV118</f>
        <v>406379754</v>
      </c>
      <c r="AW119" s="289">
        <f>AW113+AW118</f>
        <v>43167042.31999999</v>
      </c>
      <c r="AX119" s="244"/>
    </row>
    <row r="120" spans="1:50" s="262" customFormat="1" ht="18" thickTop="1">
      <c r="A120" s="14"/>
      <c r="B120" s="264"/>
      <c r="C120" s="264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T120" s="167"/>
      <c r="U120" s="266"/>
      <c r="V120" s="264"/>
      <c r="W120" s="264"/>
      <c r="Y120" s="267"/>
      <c r="AB120" s="268"/>
      <c r="AC120" s="269"/>
      <c r="AE120" s="182"/>
      <c r="AF120" s="26"/>
      <c r="AG120" s="305"/>
      <c r="AL120" s="263"/>
      <c r="AM120" s="270"/>
      <c r="AP120" s="182"/>
      <c r="AQ120" s="26"/>
      <c r="AR120" s="305"/>
      <c r="AW120" s="263"/>
      <c r="AX120" s="270"/>
    </row>
    <row r="121" ht="15.75">
      <c r="S121" s="20"/>
    </row>
    <row r="124" ht="15.75">
      <c r="S124" s="20"/>
    </row>
  </sheetData>
  <sheetProtection/>
  <mergeCells count="16">
    <mergeCell ref="B119:D119"/>
    <mergeCell ref="V119:X119"/>
    <mergeCell ref="AE2:AK2"/>
    <mergeCell ref="AE3:AK3"/>
    <mergeCell ref="AE4:AK4"/>
    <mergeCell ref="B2:S2"/>
    <mergeCell ref="B3:S3"/>
    <mergeCell ref="B4:S4"/>
    <mergeCell ref="V2:AC2"/>
    <mergeCell ref="V3:AC3"/>
    <mergeCell ref="AP2:AV2"/>
    <mergeCell ref="AP3:AV3"/>
    <mergeCell ref="AP4:AV4"/>
    <mergeCell ref="AP119:AR119"/>
    <mergeCell ref="AE119:AG119"/>
    <mergeCell ref="V4:AC4"/>
  </mergeCells>
  <printOptions/>
  <pageMargins left="0.42" right="0.15748031496062992" top="0.1968503937007874" bottom="0.35433070866141736" header="0.1968503937007874" footer="0.15748031496062992"/>
  <pageSetup horizontalDpi="600" verticalDpi="600" orientation="portrait" scale="55" r:id="rId1"/>
  <headerFoot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F62"/>
  <sheetViews>
    <sheetView zoomScale="94" zoomScaleNormal="94" zoomScalePageLayoutView="0" workbookViewId="0" topLeftCell="A1">
      <selection activeCell="A14" sqref="A14:IV14"/>
    </sheetView>
  </sheetViews>
  <sheetFormatPr defaultColWidth="11.00390625" defaultRowHeight="15.75"/>
  <cols>
    <col min="1" max="1" width="13.375" style="2" customWidth="1"/>
    <col min="2" max="2" width="47.00390625" style="2" bestFit="1" customWidth="1"/>
    <col min="3" max="3" width="15.25390625" style="2" customWidth="1"/>
    <col min="4" max="4" width="14.50390625" style="2" bestFit="1" customWidth="1"/>
    <col min="5" max="5" width="15.375" style="2" bestFit="1" customWidth="1"/>
    <col min="6" max="6" width="17.00390625" style="2" bestFit="1" customWidth="1"/>
    <col min="7" max="16384" width="11.00390625" style="2" customWidth="1"/>
  </cols>
  <sheetData>
    <row r="1" spans="2:6" ht="18">
      <c r="B1" s="371" t="s">
        <v>146</v>
      </c>
      <c r="C1" s="372"/>
      <c r="D1" s="372"/>
      <c r="E1" s="372"/>
      <c r="F1" s="373"/>
    </row>
    <row r="2" spans="2:6" ht="15.75">
      <c r="B2" s="374" t="s">
        <v>5</v>
      </c>
      <c r="C2" s="375"/>
      <c r="D2" s="375"/>
      <c r="E2" s="375"/>
      <c r="F2" s="376"/>
    </row>
    <row r="3" spans="2:6" ht="15.75">
      <c r="B3" s="377" t="s">
        <v>422</v>
      </c>
      <c r="C3" s="378"/>
      <c r="D3" s="378"/>
      <c r="E3" s="378"/>
      <c r="F3" s="379"/>
    </row>
    <row r="4" ht="16.5" customHeight="1"/>
    <row r="5" spans="2:6" ht="16.5" thickBot="1">
      <c r="B5" s="3"/>
      <c r="C5" s="3"/>
      <c r="D5" s="3"/>
      <c r="E5" s="3"/>
      <c r="F5" s="3"/>
    </row>
    <row r="6" spans="1:6" ht="16.5" thickTop="1">
      <c r="A6" s="1"/>
      <c r="B6" s="200"/>
      <c r="C6" s="201"/>
      <c r="D6" s="201"/>
      <c r="E6" s="201"/>
      <c r="F6" s="202"/>
    </row>
    <row r="7" spans="1:6" s="199" customFormat="1" ht="16.5" thickBot="1">
      <c r="A7" s="1"/>
      <c r="B7" s="203" t="s">
        <v>86</v>
      </c>
      <c r="C7" s="380" t="s">
        <v>46</v>
      </c>
      <c r="D7" s="380"/>
      <c r="E7" s="314" t="s">
        <v>387</v>
      </c>
      <c r="F7" s="204"/>
    </row>
    <row r="8" spans="1:6" ht="17.25" thickBot="1" thickTop="1">
      <c r="A8" s="1"/>
      <c r="B8" s="205"/>
      <c r="C8" s="206" t="s">
        <v>33</v>
      </c>
      <c r="D8" s="207" t="s">
        <v>8</v>
      </c>
      <c r="E8" s="207" t="s">
        <v>8</v>
      </c>
      <c r="F8" s="208" t="s">
        <v>0</v>
      </c>
    </row>
    <row r="9" spans="1:6" ht="16.5" thickTop="1">
      <c r="A9" s="1"/>
      <c r="B9" s="4"/>
      <c r="C9" s="3"/>
      <c r="D9" s="5"/>
      <c r="E9" s="3"/>
      <c r="F9" s="6"/>
    </row>
    <row r="10" spans="1:6" ht="15.75">
      <c r="A10" s="1" t="s">
        <v>154</v>
      </c>
      <c r="B10" s="4" t="s">
        <v>151</v>
      </c>
      <c r="C10" s="5">
        <v>10062352</v>
      </c>
      <c r="D10" s="5">
        <v>120748279</v>
      </c>
      <c r="E10" s="5">
        <v>171162956</v>
      </c>
      <c r="F10" s="7">
        <v>-50414677</v>
      </c>
    </row>
    <row r="11" spans="1:6" ht="15.75">
      <c r="A11" s="1" t="s">
        <v>155</v>
      </c>
      <c r="B11" s="4" t="s">
        <v>153</v>
      </c>
      <c r="C11" s="5"/>
      <c r="D11" s="197">
        <v>0</v>
      </c>
      <c r="E11" s="32">
        <v>1368799</v>
      </c>
      <c r="F11" s="7">
        <v>-1368799</v>
      </c>
    </row>
    <row r="12" spans="1:6" ht="15.75">
      <c r="A12" s="1" t="s">
        <v>156</v>
      </c>
      <c r="B12" s="4" t="s">
        <v>149</v>
      </c>
      <c r="C12" s="5">
        <v>19487330.93</v>
      </c>
      <c r="D12" s="5">
        <v>233848015.93</v>
      </c>
      <c r="E12" s="5">
        <v>233848015</v>
      </c>
      <c r="F12" s="296">
        <v>0.9300000071525574</v>
      </c>
    </row>
    <row r="13" spans="1:6" ht="15.75">
      <c r="A13" s="1" t="s">
        <v>157</v>
      </c>
      <c r="B13" s="4" t="s">
        <v>152</v>
      </c>
      <c r="C13" s="5">
        <v>10000000</v>
      </c>
      <c r="D13" s="5">
        <v>16385796</v>
      </c>
      <c r="E13" s="5">
        <v>0</v>
      </c>
      <c r="F13" s="7">
        <v>16385796</v>
      </c>
    </row>
    <row r="14" spans="1:6" ht="15.75" hidden="1">
      <c r="A14" s="1"/>
      <c r="B14" s="4" t="s">
        <v>158</v>
      </c>
      <c r="C14" s="5" t="s">
        <v>97</v>
      </c>
      <c r="D14" s="5" t="s">
        <v>97</v>
      </c>
      <c r="E14" s="5">
        <v>0</v>
      </c>
      <c r="F14" s="7"/>
    </row>
    <row r="15" spans="1:6" ht="15.75">
      <c r="A15" s="1"/>
      <c r="B15" s="4"/>
      <c r="C15" s="5"/>
      <c r="D15" s="5"/>
      <c r="E15" s="5"/>
      <c r="F15" s="7"/>
    </row>
    <row r="16" spans="1:6" ht="16.5" thickBot="1">
      <c r="A16" s="209">
        <v>401402403</v>
      </c>
      <c r="B16" s="210" t="s">
        <v>80</v>
      </c>
      <c r="C16" s="211">
        <v>39549682.93</v>
      </c>
      <c r="D16" s="211">
        <v>370982090.93</v>
      </c>
      <c r="E16" s="211">
        <v>406379770</v>
      </c>
      <c r="F16" s="212">
        <v>-35397679.06999999</v>
      </c>
    </row>
    <row r="17" spans="1:6" ht="16.5" thickTop="1">
      <c r="A17" s="1"/>
      <c r="B17" s="9"/>
      <c r="C17" s="10"/>
      <c r="D17" s="10"/>
      <c r="E17" s="10"/>
      <c r="F17" s="11"/>
    </row>
    <row r="18" spans="1:6" ht="15.75" hidden="1">
      <c r="A18" s="1"/>
      <c r="B18" s="9"/>
      <c r="C18" s="10"/>
      <c r="D18" s="10"/>
      <c r="E18" s="10"/>
      <c r="F18" s="11"/>
    </row>
    <row r="19" spans="1:6" ht="15.75">
      <c r="A19" s="1" t="s">
        <v>81</v>
      </c>
      <c r="B19" s="4" t="s">
        <v>73</v>
      </c>
      <c r="C19" s="5">
        <v>22323109.610000003</v>
      </c>
      <c r="D19" s="5">
        <v>110120035.61</v>
      </c>
      <c r="E19" s="5">
        <v>127486051</v>
      </c>
      <c r="F19" s="7">
        <v>17366015.39</v>
      </c>
    </row>
    <row r="20" spans="1:6" ht="15.75">
      <c r="A20" s="1" t="s">
        <v>82</v>
      </c>
      <c r="B20" s="4" t="s">
        <v>74</v>
      </c>
      <c r="C20" s="5">
        <v>554193.95</v>
      </c>
      <c r="D20" s="5">
        <v>2009302.95</v>
      </c>
      <c r="E20" s="5">
        <v>3599073</v>
      </c>
      <c r="F20" s="7">
        <v>1589770.05</v>
      </c>
    </row>
    <row r="21" spans="1:6" ht="15.75">
      <c r="A21" s="1" t="s">
        <v>83</v>
      </c>
      <c r="B21" s="4" t="s">
        <v>75</v>
      </c>
      <c r="C21" s="5">
        <v>5581214.470000001</v>
      </c>
      <c r="D21" s="5">
        <v>19381585.47</v>
      </c>
      <c r="E21" s="5">
        <v>40077842</v>
      </c>
      <c r="F21" s="7">
        <v>20696256.53</v>
      </c>
    </row>
    <row r="22" spans="1:6" ht="15.75" hidden="1">
      <c r="A22" s="1"/>
      <c r="B22" s="4" t="s">
        <v>93</v>
      </c>
      <c r="C22" s="5"/>
      <c r="D22" s="5">
        <v>0</v>
      </c>
      <c r="E22" s="5">
        <v>0</v>
      </c>
      <c r="F22" s="7">
        <v>0</v>
      </c>
    </row>
    <row r="23" spans="1:6" ht="17.25" customHeight="1">
      <c r="A23" s="1">
        <v>508</v>
      </c>
      <c r="B23" s="12" t="s">
        <v>76</v>
      </c>
      <c r="C23" s="5">
        <v>2004675</v>
      </c>
      <c r="D23" s="5">
        <v>11835928</v>
      </c>
      <c r="E23" s="5">
        <v>0</v>
      </c>
      <c r="F23" s="95">
        <v>-11835928</v>
      </c>
    </row>
    <row r="24" spans="1:6" ht="15.75" hidden="1">
      <c r="A24" s="1">
        <v>510</v>
      </c>
      <c r="B24" s="12" t="s">
        <v>106</v>
      </c>
      <c r="C24" s="196">
        <v>0</v>
      </c>
      <c r="D24" s="197">
        <v>0</v>
      </c>
      <c r="E24" s="197">
        <v>0</v>
      </c>
      <c r="F24" s="198">
        <v>0</v>
      </c>
    </row>
    <row r="25" spans="1:6" ht="16.5" thickBot="1">
      <c r="A25" s="1"/>
      <c r="B25" s="213" t="s">
        <v>72</v>
      </c>
      <c r="C25" s="211">
        <v>30463193.03</v>
      </c>
      <c r="D25" s="211">
        <v>143346852.03</v>
      </c>
      <c r="E25" s="211">
        <v>171162966</v>
      </c>
      <c r="F25" s="212">
        <v>27816113.97</v>
      </c>
    </row>
    <row r="26" spans="1:6" ht="16.5" thickTop="1">
      <c r="A26" s="1"/>
      <c r="B26" s="9"/>
      <c r="C26" s="10"/>
      <c r="D26" s="10"/>
      <c r="E26" s="10"/>
      <c r="F26" s="11"/>
    </row>
    <row r="27" spans="1:6" ht="15.75">
      <c r="A27" s="1"/>
      <c r="B27" s="4"/>
      <c r="C27" s="10"/>
      <c r="D27" s="10"/>
      <c r="E27" s="10"/>
      <c r="F27" s="11"/>
    </row>
    <row r="28" spans="1:6" ht="15.75">
      <c r="A28" s="1">
        <v>502</v>
      </c>
      <c r="B28" s="4" t="s">
        <v>7</v>
      </c>
      <c r="C28" s="5">
        <v>18950841</v>
      </c>
      <c r="D28" s="5">
        <v>227410092</v>
      </c>
      <c r="E28" s="5">
        <v>227410092</v>
      </c>
      <c r="F28" s="296">
        <v>0</v>
      </c>
    </row>
    <row r="29" spans="1:6" ht="15.75">
      <c r="A29" s="1">
        <v>507</v>
      </c>
      <c r="B29" s="4" t="s">
        <v>48</v>
      </c>
      <c r="C29" s="13">
        <v>536493.79</v>
      </c>
      <c r="D29" s="5">
        <v>6437921.79</v>
      </c>
      <c r="E29" s="5">
        <v>6437924</v>
      </c>
      <c r="F29" s="296">
        <v>2.209999999962747</v>
      </c>
    </row>
    <row r="30" spans="1:6" ht="15.75" hidden="1">
      <c r="A30" s="1"/>
      <c r="B30" s="4" t="s">
        <v>49</v>
      </c>
      <c r="C30" s="197">
        <v>0</v>
      </c>
      <c r="D30" s="197">
        <v>0</v>
      </c>
      <c r="E30" s="197">
        <v>0</v>
      </c>
      <c r="F30" s="198">
        <v>0</v>
      </c>
    </row>
    <row r="31" spans="1:6" ht="15.75">
      <c r="A31" s="1"/>
      <c r="B31" s="216" t="s">
        <v>77</v>
      </c>
      <c r="C31" s="214">
        <v>19487334.79</v>
      </c>
      <c r="D31" s="214">
        <v>233848013.79</v>
      </c>
      <c r="E31" s="214">
        <v>233848016</v>
      </c>
      <c r="F31" s="215">
        <v>2.209999999962747</v>
      </c>
    </row>
    <row r="32" spans="1:6" ht="15.75">
      <c r="A32" s="1"/>
      <c r="B32" s="9"/>
      <c r="C32" s="10"/>
      <c r="D32" s="10"/>
      <c r="E32" s="10"/>
      <c r="F32" s="11"/>
    </row>
    <row r="33" spans="1:6" ht="15.75">
      <c r="A33" s="1"/>
      <c r="B33" s="4"/>
      <c r="C33" s="5"/>
      <c r="D33" s="5"/>
      <c r="E33" s="5"/>
      <c r="F33" s="8"/>
    </row>
    <row r="34" spans="1:6" ht="16.5" thickBot="1">
      <c r="A34" s="1"/>
      <c r="B34" s="210" t="s">
        <v>78</v>
      </c>
      <c r="C34" s="211">
        <v>49950527.82</v>
      </c>
      <c r="D34" s="211">
        <v>377194865.82</v>
      </c>
      <c r="E34" s="211">
        <v>405010982</v>
      </c>
      <c r="F34" s="217">
        <v>27816116.18</v>
      </c>
    </row>
    <row r="35" spans="1:6" ht="16.5" thickTop="1">
      <c r="A35" s="1"/>
      <c r="B35" s="9"/>
      <c r="C35" s="10"/>
      <c r="D35" s="10"/>
      <c r="E35" s="10"/>
      <c r="F35" s="11"/>
    </row>
    <row r="36" spans="1:6" ht="15.75">
      <c r="A36" s="1"/>
      <c r="B36" s="4"/>
      <c r="C36" s="5"/>
      <c r="D36" s="5"/>
      <c r="E36" s="5"/>
      <c r="F36" s="8"/>
    </row>
    <row r="37" spans="1:6" ht="16.5" thickBot="1">
      <c r="A37" s="1"/>
      <c r="B37" s="210" t="s">
        <v>79</v>
      </c>
      <c r="C37" s="304">
        <v>-10400844.89</v>
      </c>
      <c r="D37" s="304">
        <v>-6212774.889999986</v>
      </c>
      <c r="E37" s="227">
        <v>1368788</v>
      </c>
      <c r="F37" s="217">
        <v>-7581562.889999993</v>
      </c>
    </row>
    <row r="38" spans="1:6" ht="16.5" thickTop="1">
      <c r="A38" s="1"/>
      <c r="B38" s="9"/>
      <c r="C38" s="10"/>
      <c r="D38" s="10"/>
      <c r="E38" s="10"/>
      <c r="F38" s="11"/>
    </row>
    <row r="39" spans="1:6" ht="15.75">
      <c r="A39" s="1">
        <v>405</v>
      </c>
      <c r="B39" s="4" t="s">
        <v>30</v>
      </c>
      <c r="C39" s="82">
        <v>-65435.59</v>
      </c>
      <c r="D39" s="5">
        <v>363430.35</v>
      </c>
      <c r="E39" s="197">
        <v>0</v>
      </c>
      <c r="F39" s="7">
        <v>-363430.35</v>
      </c>
    </row>
    <row r="40" spans="1:6" ht="15.75">
      <c r="A40" s="1"/>
      <c r="B40" s="4" t="s">
        <v>89</v>
      </c>
      <c r="C40" s="306">
        <v>19905</v>
      </c>
      <c r="D40" s="306">
        <v>315739.93000000005</v>
      </c>
      <c r="E40" s="197">
        <v>0</v>
      </c>
      <c r="F40" s="7">
        <v>-315739.93000000005</v>
      </c>
    </row>
    <row r="41" spans="1:6" ht="15.75">
      <c r="A41" s="1">
        <v>408</v>
      </c>
      <c r="B41" s="4" t="s">
        <v>47</v>
      </c>
      <c r="C41" s="197">
        <v>0</v>
      </c>
      <c r="D41" s="197">
        <v>0</v>
      </c>
      <c r="E41" s="197">
        <v>0</v>
      </c>
      <c r="F41" s="198">
        <v>0</v>
      </c>
    </row>
    <row r="42" spans="1:6" ht="15.75">
      <c r="A42" s="1"/>
      <c r="B42" s="4"/>
      <c r="C42" s="5"/>
      <c r="D42" s="5"/>
      <c r="E42" s="197"/>
      <c r="F42" s="8"/>
    </row>
    <row r="43" spans="1:6" ht="16.5" thickBot="1">
      <c r="A43" s="1"/>
      <c r="B43" s="210" t="s">
        <v>166</v>
      </c>
      <c r="C43" s="304">
        <v>-45530.59</v>
      </c>
      <c r="D43" s="211">
        <v>679170.28</v>
      </c>
      <c r="E43" s="211">
        <v>0</v>
      </c>
      <c r="F43" s="217">
        <v>-679170.28</v>
      </c>
    </row>
    <row r="44" spans="1:6" ht="16.5" thickTop="1">
      <c r="A44" s="1"/>
      <c r="B44" s="4"/>
      <c r="C44" s="5"/>
      <c r="D44" s="5"/>
      <c r="E44" s="5"/>
      <c r="F44" s="8"/>
    </row>
    <row r="45" spans="1:6" ht="16.5" thickBot="1">
      <c r="A45" s="1"/>
      <c r="B45" s="218" t="s">
        <v>57</v>
      </c>
      <c r="C45" s="219">
        <v>-10446375.48</v>
      </c>
      <c r="D45" s="219">
        <v>-5533604.609999985</v>
      </c>
      <c r="E45" s="219">
        <v>1368788</v>
      </c>
      <c r="F45" s="220">
        <v>-6902392.609999994</v>
      </c>
    </row>
    <row r="46" s="17" customFormat="1" ht="16.5" thickTop="1">
      <c r="A46" s="14"/>
    </row>
    <row r="47" spans="1:4" s="17" customFormat="1" ht="15.75">
      <c r="A47" s="14"/>
      <c r="B47" s="15"/>
      <c r="C47" s="16"/>
      <c r="D47" s="16"/>
    </row>
    <row r="48" spans="1:4" s="17" customFormat="1" ht="15.75">
      <c r="A48" s="14"/>
      <c r="B48" s="15"/>
      <c r="C48" s="16"/>
      <c r="D48" s="16"/>
    </row>
    <row r="49" spans="1:4" s="17" customFormat="1" ht="15.75">
      <c r="A49" s="14"/>
      <c r="B49" s="18"/>
      <c r="C49" s="16"/>
      <c r="D49" s="16"/>
    </row>
    <row r="50" spans="1:4" ht="15.75">
      <c r="A50" s="1"/>
      <c r="B50" s="19"/>
      <c r="C50" s="10"/>
      <c r="D50" s="10"/>
    </row>
    <row r="51" spans="1:4" ht="15.75">
      <c r="A51" s="1"/>
      <c r="B51" s="3"/>
      <c r="C51" s="20"/>
      <c r="D51" s="20"/>
    </row>
    <row r="52" ht="15.75">
      <c r="A52" s="1"/>
    </row>
    <row r="53" ht="15.75">
      <c r="A53" s="1"/>
    </row>
    <row r="54" spans="1:4" ht="15.75">
      <c r="A54" s="1"/>
      <c r="C54" s="20"/>
      <c r="D54" s="20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B1:F1"/>
    <mergeCell ref="B2:F2"/>
    <mergeCell ref="B3:F3"/>
    <mergeCell ref="C7:D7"/>
  </mergeCells>
  <printOptions horizontalCentered="1"/>
  <pageMargins left="0.36" right="0.17" top="0.43" bottom="1" header="0.83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B1:G5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8" sqref="F58"/>
    </sheetView>
  </sheetViews>
  <sheetFormatPr defaultColWidth="11.00390625" defaultRowHeight="15.75"/>
  <cols>
    <col min="1" max="1" width="5.50390625" style="2" customWidth="1"/>
    <col min="2" max="2" width="43.50390625" style="2" customWidth="1"/>
    <col min="3" max="3" width="15.25390625" style="2" customWidth="1"/>
    <col min="4" max="4" width="14.625" style="2" customWidth="1"/>
    <col min="5" max="5" width="16.50390625" style="2" customWidth="1"/>
    <col min="6" max="6" width="15.25390625" style="2" customWidth="1"/>
    <col min="7" max="7" width="16.50390625" style="2" customWidth="1"/>
    <col min="8" max="16384" width="11.00390625" style="2" customWidth="1"/>
  </cols>
  <sheetData>
    <row r="1" spans="2:7" s="28" customFormat="1" ht="15.75">
      <c r="B1" s="381" t="s">
        <v>146</v>
      </c>
      <c r="C1" s="382"/>
      <c r="D1" s="382"/>
      <c r="E1" s="382"/>
      <c r="F1" s="382"/>
      <c r="G1" s="383"/>
    </row>
    <row r="2" spans="2:7" ht="15.75">
      <c r="B2" s="384" t="s">
        <v>9</v>
      </c>
      <c r="C2" s="385"/>
      <c r="D2" s="385"/>
      <c r="E2" s="385"/>
      <c r="F2" s="385"/>
      <c r="G2" s="386"/>
    </row>
    <row r="3" spans="2:7" ht="16.5" thickBot="1">
      <c r="B3" s="387" t="s">
        <v>422</v>
      </c>
      <c r="C3" s="388"/>
      <c r="D3" s="388"/>
      <c r="E3" s="388"/>
      <c r="F3" s="388"/>
      <c r="G3" s="389"/>
    </row>
    <row r="4" spans="2:7" ht="15.75">
      <c r="B4" s="29"/>
      <c r="C4" s="29"/>
      <c r="D4" s="30"/>
      <c r="E4" s="30"/>
      <c r="F4" s="29"/>
      <c r="G4" s="29"/>
    </row>
    <row r="5" spans="2:7" ht="36" customHeight="1" thickBot="1">
      <c r="B5" s="221" t="s">
        <v>6</v>
      </c>
      <c r="C5" s="222" t="s">
        <v>11</v>
      </c>
      <c r="D5" s="222" t="s">
        <v>52</v>
      </c>
      <c r="E5" s="223" t="s">
        <v>141</v>
      </c>
      <c r="F5" s="222" t="s">
        <v>11</v>
      </c>
      <c r="G5" s="224" t="s">
        <v>142</v>
      </c>
    </row>
    <row r="6" spans="2:7" ht="16.5" thickTop="1">
      <c r="B6" s="31" t="s">
        <v>14</v>
      </c>
      <c r="C6" s="5">
        <v>470000</v>
      </c>
      <c r="D6" s="5">
        <v>45924.71</v>
      </c>
      <c r="E6" s="32">
        <v>-424075.29</v>
      </c>
      <c r="F6" s="5">
        <v>45924.71</v>
      </c>
      <c r="G6" s="95">
        <v>-424075.29</v>
      </c>
    </row>
    <row r="7" spans="2:7" ht="15.75">
      <c r="B7" s="31" t="s">
        <v>12</v>
      </c>
      <c r="C7" s="5">
        <v>12835998.76</v>
      </c>
      <c r="D7" s="5">
        <v>17554513.17</v>
      </c>
      <c r="E7" s="32">
        <v>4718514.410000002</v>
      </c>
      <c r="F7" s="5">
        <v>3890853.12</v>
      </c>
      <c r="G7" s="95">
        <v>-8945145.64</v>
      </c>
    </row>
    <row r="8" spans="2:7" ht="15.75" hidden="1">
      <c r="B8" s="31" t="s">
        <v>13</v>
      </c>
      <c r="C8" s="5">
        <v>0</v>
      </c>
      <c r="D8" s="5">
        <v>0</v>
      </c>
      <c r="E8" s="32">
        <v>0</v>
      </c>
      <c r="F8" s="5">
        <v>0</v>
      </c>
      <c r="G8" s="95">
        <v>0</v>
      </c>
    </row>
    <row r="9" spans="2:7" ht="15.75">
      <c r="B9" s="31" t="s">
        <v>15</v>
      </c>
      <c r="C9" s="5">
        <v>2155987.53</v>
      </c>
      <c r="D9" s="5">
        <v>2471344.85</v>
      </c>
      <c r="E9" s="32">
        <v>315357.3200000003</v>
      </c>
      <c r="F9" s="5">
        <v>2043055.75</v>
      </c>
      <c r="G9" s="95">
        <v>-112932.7799999998</v>
      </c>
    </row>
    <row r="10" spans="2:7" ht="15.75" hidden="1">
      <c r="B10" s="31" t="s">
        <v>16</v>
      </c>
      <c r="C10" s="32">
        <v>0</v>
      </c>
      <c r="D10" s="32">
        <v>0</v>
      </c>
      <c r="E10" s="32">
        <v>0</v>
      </c>
      <c r="F10" s="32">
        <v>0</v>
      </c>
      <c r="G10" s="95">
        <v>0</v>
      </c>
    </row>
    <row r="11" spans="2:7" ht="15.75" hidden="1">
      <c r="B11" s="31" t="s">
        <v>43</v>
      </c>
      <c r="C11" s="32">
        <v>0</v>
      </c>
      <c r="D11" s="32">
        <v>0</v>
      </c>
      <c r="E11" s="32">
        <v>0</v>
      </c>
      <c r="F11" s="32">
        <v>0</v>
      </c>
      <c r="G11" s="95">
        <v>0</v>
      </c>
    </row>
    <row r="12" spans="2:7" ht="15.75">
      <c r="B12" s="31" t="s">
        <v>164</v>
      </c>
      <c r="C12" s="32">
        <v>124.06</v>
      </c>
      <c r="D12" s="32">
        <v>319.69</v>
      </c>
      <c r="E12" s="32">
        <v>195.63</v>
      </c>
      <c r="F12" s="32">
        <v>0</v>
      </c>
      <c r="G12" s="95">
        <v>-124.06</v>
      </c>
    </row>
    <row r="13" spans="2:7" ht="16.5" thickBot="1">
      <c r="B13" s="225" t="s">
        <v>66</v>
      </c>
      <c r="C13" s="211">
        <v>15462110.35</v>
      </c>
      <c r="D13" s="211">
        <v>20072102.420000006</v>
      </c>
      <c r="E13" s="226">
        <v>4609992.070000002</v>
      </c>
      <c r="F13" s="211">
        <v>5979833.58</v>
      </c>
      <c r="G13" s="212">
        <v>-9482277.77</v>
      </c>
    </row>
    <row r="14" spans="2:7" ht="16.5" thickTop="1">
      <c r="B14" s="33"/>
      <c r="C14" s="10"/>
      <c r="D14" s="10"/>
      <c r="E14" s="34"/>
      <c r="F14" s="10"/>
      <c r="G14" s="11"/>
    </row>
    <row r="15" spans="2:7" ht="15.75">
      <c r="B15" s="31"/>
      <c r="C15" s="5"/>
      <c r="D15" s="5"/>
      <c r="E15" s="23"/>
      <c r="F15" s="5"/>
      <c r="G15" s="8"/>
    </row>
    <row r="16" spans="2:7" ht="15.75">
      <c r="B16" s="31" t="s">
        <v>17</v>
      </c>
      <c r="C16" s="5">
        <v>5726392.4</v>
      </c>
      <c r="D16" s="5">
        <v>5726392.4</v>
      </c>
      <c r="E16" s="32">
        <v>0</v>
      </c>
      <c r="F16" s="5">
        <v>5726392.4</v>
      </c>
      <c r="G16" s="95">
        <v>0</v>
      </c>
    </row>
    <row r="17" spans="2:7" ht="15.75">
      <c r="B17" s="31" t="s">
        <v>18</v>
      </c>
      <c r="C17" s="5">
        <v>2077615.33</v>
      </c>
      <c r="D17" s="5">
        <v>2077615.33</v>
      </c>
      <c r="E17" s="32">
        <v>0</v>
      </c>
      <c r="F17" s="5">
        <v>2160327.33</v>
      </c>
      <c r="G17" s="95">
        <v>82712</v>
      </c>
    </row>
    <row r="18" spans="2:7" ht="15.75">
      <c r="B18" s="31" t="s">
        <v>37</v>
      </c>
      <c r="C18" s="5">
        <v>47700749.23</v>
      </c>
      <c r="D18" s="5">
        <v>47700749.23</v>
      </c>
      <c r="E18" s="32">
        <v>0</v>
      </c>
      <c r="F18" s="5">
        <v>47700749.23</v>
      </c>
      <c r="G18" s="95">
        <v>0</v>
      </c>
    </row>
    <row r="19" spans="2:7" ht="15.75">
      <c r="B19" s="31" t="s">
        <v>19</v>
      </c>
      <c r="C19" s="5">
        <v>355104.97</v>
      </c>
      <c r="D19" s="5">
        <v>355104.97</v>
      </c>
      <c r="E19" s="32">
        <v>0</v>
      </c>
      <c r="F19" s="5">
        <v>355104.97</v>
      </c>
      <c r="G19" s="95">
        <v>0</v>
      </c>
    </row>
    <row r="20" spans="2:7" ht="15.75">
      <c r="B20" s="31" t="s">
        <v>38</v>
      </c>
      <c r="C20" s="5">
        <v>5531707.4</v>
      </c>
      <c r="D20" s="5">
        <v>5531707.4</v>
      </c>
      <c r="E20" s="32">
        <v>0</v>
      </c>
      <c r="F20" s="5">
        <v>5531707.4</v>
      </c>
      <c r="G20" s="95">
        <v>0</v>
      </c>
    </row>
    <row r="21" spans="2:7" ht="15.75">
      <c r="B21" s="31" t="s">
        <v>20</v>
      </c>
      <c r="C21" s="5">
        <v>559930.77</v>
      </c>
      <c r="D21" s="5">
        <v>559930.77</v>
      </c>
      <c r="E21" s="32">
        <v>0</v>
      </c>
      <c r="F21" s="5">
        <v>559930.77</v>
      </c>
      <c r="G21" s="95">
        <v>0</v>
      </c>
    </row>
    <row r="22" spans="2:7" ht="15.75">
      <c r="B22" s="31" t="s">
        <v>39</v>
      </c>
      <c r="C22" s="32">
        <v>-54732718.99</v>
      </c>
      <c r="D22" s="32">
        <v>-52728422.99</v>
      </c>
      <c r="E22" s="32">
        <v>2004296</v>
      </c>
      <c r="F22" s="32">
        <v>-42981778.99</v>
      </c>
      <c r="G22" s="95">
        <v>11750940</v>
      </c>
    </row>
    <row r="23" spans="2:7" ht="16.5" thickBot="1">
      <c r="B23" s="225" t="s">
        <v>67</v>
      </c>
      <c r="C23" s="211">
        <v>7218781.109999992</v>
      </c>
      <c r="D23" s="211">
        <v>9223077.109999992</v>
      </c>
      <c r="E23" s="227">
        <v>2004296</v>
      </c>
      <c r="F23" s="211">
        <v>19052433.109999992</v>
      </c>
      <c r="G23" s="228">
        <v>11833652</v>
      </c>
    </row>
    <row r="24" spans="2:7" ht="16.5" thickTop="1">
      <c r="B24" s="33"/>
      <c r="C24" s="10"/>
      <c r="D24" s="10"/>
      <c r="E24" s="10"/>
      <c r="F24" s="10"/>
      <c r="G24" s="11"/>
    </row>
    <row r="25" spans="2:7" ht="15.75">
      <c r="B25" s="31"/>
      <c r="C25" s="5"/>
      <c r="D25" s="5"/>
      <c r="E25" s="5"/>
      <c r="F25" s="5"/>
      <c r="G25" s="8"/>
    </row>
    <row r="26" spans="2:7" ht="15.75">
      <c r="B26" s="31" t="s">
        <v>21</v>
      </c>
      <c r="C26" s="5">
        <v>743608.15</v>
      </c>
      <c r="D26" s="5">
        <v>743608.15</v>
      </c>
      <c r="E26" s="32">
        <v>0</v>
      </c>
      <c r="F26" s="5">
        <v>743608.15</v>
      </c>
      <c r="G26" s="95">
        <v>0</v>
      </c>
    </row>
    <row r="27" spans="2:7" ht="15.75">
      <c r="B27" s="31" t="s">
        <v>40</v>
      </c>
      <c r="C27" s="32">
        <v>-743608.15</v>
      </c>
      <c r="D27" s="32">
        <v>-743608.15</v>
      </c>
      <c r="E27" s="32">
        <v>0</v>
      </c>
      <c r="F27" s="32">
        <v>-743608.15</v>
      </c>
      <c r="G27" s="95">
        <v>0</v>
      </c>
    </row>
    <row r="28" spans="2:7" ht="15.75">
      <c r="B28" s="31" t="s">
        <v>41</v>
      </c>
      <c r="C28" s="5">
        <v>45533.24</v>
      </c>
      <c r="D28" s="5">
        <v>45533.24</v>
      </c>
      <c r="E28" s="32">
        <v>0</v>
      </c>
      <c r="F28" s="5">
        <v>45533.24</v>
      </c>
      <c r="G28" s="95">
        <v>0</v>
      </c>
    </row>
    <row r="29" spans="2:7" ht="15.75">
      <c r="B29" s="31" t="s">
        <v>42</v>
      </c>
      <c r="C29" s="32">
        <v>-35663</v>
      </c>
      <c r="D29" s="32">
        <v>-35284.21</v>
      </c>
      <c r="E29" s="32">
        <v>378.7900000000009</v>
      </c>
      <c r="F29" s="32">
        <v>-33387.21</v>
      </c>
      <c r="G29" s="95">
        <v>2275.790000000001</v>
      </c>
    </row>
    <row r="30" spans="2:7" ht="15.75">
      <c r="B30" s="31" t="s">
        <v>107</v>
      </c>
      <c r="C30" s="5">
        <v>529883</v>
      </c>
      <c r="D30" s="5">
        <v>157364</v>
      </c>
      <c r="E30" s="32">
        <v>-372519</v>
      </c>
      <c r="F30" s="5">
        <v>157364.67</v>
      </c>
      <c r="G30" s="95">
        <v>-372518.32999999996</v>
      </c>
    </row>
    <row r="31" spans="2:7" ht="18" customHeight="1" hidden="1">
      <c r="B31" s="31" t="s">
        <v>44</v>
      </c>
      <c r="C31" s="5">
        <v>0</v>
      </c>
      <c r="D31" s="5">
        <v>0</v>
      </c>
      <c r="E31" s="5">
        <v>0</v>
      </c>
      <c r="F31" s="5">
        <v>0</v>
      </c>
      <c r="G31" s="95">
        <v>0</v>
      </c>
    </row>
    <row r="32" spans="2:7" ht="16.5" thickBot="1">
      <c r="B32" s="225" t="s">
        <v>68</v>
      </c>
      <c r="C32" s="211">
        <v>539753.24</v>
      </c>
      <c r="D32" s="211">
        <v>167613.03</v>
      </c>
      <c r="E32" s="227">
        <v>-372140.21</v>
      </c>
      <c r="F32" s="211">
        <v>169510.7</v>
      </c>
      <c r="G32" s="212">
        <v>-370242.54</v>
      </c>
    </row>
    <row r="33" spans="2:7" ht="16.5" hidden="1" thickTop="1">
      <c r="B33" s="33"/>
      <c r="C33" s="10"/>
      <c r="D33" s="10"/>
      <c r="E33" s="10"/>
      <c r="F33" s="10"/>
      <c r="G33" s="11"/>
    </row>
    <row r="34" spans="2:7" ht="16.5" thickTop="1">
      <c r="B34" s="35"/>
      <c r="C34" s="13"/>
      <c r="D34" s="13"/>
      <c r="E34" s="13"/>
      <c r="F34" s="13"/>
      <c r="G34" s="96"/>
    </row>
    <row r="35" spans="2:7" ht="16.5" thickBot="1">
      <c r="B35" s="297" t="s">
        <v>69</v>
      </c>
      <c r="C35" s="298">
        <v>23220642.69999999</v>
      </c>
      <c r="D35" s="298">
        <v>29462790.559999995</v>
      </c>
      <c r="E35" s="299">
        <v>6242150.860000002</v>
      </c>
      <c r="F35" s="298">
        <v>25201777.389999993</v>
      </c>
      <c r="G35" s="300">
        <v>1981131.6900000013</v>
      </c>
    </row>
    <row r="36" spans="2:7" ht="16.5" thickTop="1">
      <c r="B36" s="36"/>
      <c r="C36" s="16"/>
      <c r="D36" s="16"/>
      <c r="E36" s="16"/>
      <c r="F36" s="16"/>
      <c r="G36" s="97"/>
    </row>
    <row r="37" spans="2:7" ht="15.75" hidden="1">
      <c r="B37" s="36"/>
      <c r="C37" s="16"/>
      <c r="D37" s="16"/>
      <c r="E37" s="16"/>
      <c r="F37" s="16"/>
      <c r="G37" s="97"/>
    </row>
    <row r="38" spans="2:7" ht="15.75" hidden="1">
      <c r="B38" s="35"/>
      <c r="C38" s="13"/>
      <c r="D38" s="13"/>
      <c r="E38" s="13"/>
      <c r="F38" s="13"/>
      <c r="G38" s="96"/>
    </row>
    <row r="39" spans="2:7" ht="15.75">
      <c r="B39" s="35" t="s">
        <v>22</v>
      </c>
      <c r="C39" s="32">
        <v>118542.88</v>
      </c>
      <c r="D39" s="32">
        <v>19905</v>
      </c>
      <c r="E39" s="32">
        <v>98637.88</v>
      </c>
      <c r="F39" s="32">
        <v>57838</v>
      </c>
      <c r="G39" s="95">
        <v>60704.880000000005</v>
      </c>
    </row>
    <row r="40" spans="2:7" ht="15.75">
      <c r="B40" s="35" t="s">
        <v>23</v>
      </c>
      <c r="C40" s="32">
        <v>5536036.17</v>
      </c>
      <c r="D40" s="32">
        <v>2764561.8</v>
      </c>
      <c r="E40" s="32">
        <v>2771474.37</v>
      </c>
      <c r="F40" s="32">
        <v>3810937.35</v>
      </c>
      <c r="G40" s="95">
        <v>1725098.8199999998</v>
      </c>
    </row>
    <row r="41" spans="2:7" ht="15.75">
      <c r="B41" s="35" t="s">
        <v>136</v>
      </c>
      <c r="C41" s="32">
        <v>414187.11</v>
      </c>
      <c r="D41" s="32">
        <v>0</v>
      </c>
      <c r="E41" s="32">
        <v>414187.11</v>
      </c>
      <c r="F41" s="32">
        <v>199868</v>
      </c>
      <c r="G41" s="95">
        <v>214319.11</v>
      </c>
    </row>
    <row r="42" spans="2:7" ht="15.75">
      <c r="B42" s="35" t="s">
        <v>53</v>
      </c>
      <c r="C42" s="32">
        <v>1494532.81</v>
      </c>
      <c r="D42" s="32">
        <v>-15775.04</v>
      </c>
      <c r="E42" s="32">
        <v>1510307.85</v>
      </c>
      <c r="F42" s="32">
        <v>-37072.44</v>
      </c>
      <c r="G42" s="95">
        <v>1531605.25</v>
      </c>
    </row>
    <row r="43" spans="2:7" ht="15.75">
      <c r="B43" s="35" t="s">
        <v>24</v>
      </c>
      <c r="C43" s="32">
        <v>48899.58</v>
      </c>
      <c r="D43" s="32">
        <v>639278.97</v>
      </c>
      <c r="E43" s="32">
        <v>-590379.39</v>
      </c>
      <c r="F43" s="32">
        <v>28160.03</v>
      </c>
      <c r="G43" s="95">
        <v>20739.550000000003</v>
      </c>
    </row>
    <row r="44" spans="2:7" ht="16.5" thickBot="1">
      <c r="B44" s="301" t="s">
        <v>70</v>
      </c>
      <c r="C44" s="302">
        <v>7612198.550000001</v>
      </c>
      <c r="D44" s="302">
        <v>3407970.7299999995</v>
      </c>
      <c r="E44" s="302">
        <v>4204227.82</v>
      </c>
      <c r="F44" s="302">
        <v>4059730.94</v>
      </c>
      <c r="G44" s="303">
        <v>3552467.6099999994</v>
      </c>
    </row>
    <row r="45" spans="2:7" ht="16.5" thickTop="1">
      <c r="B45" s="36"/>
      <c r="C45" s="16"/>
      <c r="D45" s="16"/>
      <c r="E45" s="16"/>
      <c r="F45" s="16"/>
      <c r="G45" s="97"/>
    </row>
    <row r="46" spans="2:7" ht="15.75">
      <c r="B46" s="35"/>
      <c r="C46" s="13"/>
      <c r="D46" s="13"/>
      <c r="E46" s="13"/>
      <c r="F46" s="13"/>
      <c r="G46" s="96"/>
    </row>
    <row r="47" spans="2:7" ht="15.75">
      <c r="B47" s="35" t="s">
        <v>25</v>
      </c>
      <c r="C47" s="13">
        <v>42008.47</v>
      </c>
      <c r="D47" s="13">
        <v>42008.47</v>
      </c>
      <c r="E47" s="32">
        <v>0</v>
      </c>
      <c r="F47" s="13">
        <v>42008.47</v>
      </c>
      <c r="G47" s="95">
        <v>0</v>
      </c>
    </row>
    <row r="48" spans="2:7" ht="15.75">
      <c r="B48" s="35" t="s">
        <v>29</v>
      </c>
      <c r="C48" s="13">
        <v>29998711.2</v>
      </c>
      <c r="D48" s="13">
        <v>29998711.2</v>
      </c>
      <c r="E48" s="32">
        <v>0</v>
      </c>
      <c r="F48" s="13">
        <v>29998711.2</v>
      </c>
      <c r="G48" s="95">
        <v>0</v>
      </c>
    </row>
    <row r="49" spans="2:7" ht="15.75">
      <c r="B49" s="35" t="s">
        <v>36</v>
      </c>
      <c r="C49" s="32">
        <v>-8898673.75</v>
      </c>
      <c r="D49" s="32">
        <v>-8898673.75</v>
      </c>
      <c r="E49" s="32">
        <v>0</v>
      </c>
      <c r="F49" s="32">
        <v>2010927.9</v>
      </c>
      <c r="G49" s="95">
        <v>-10909601.65</v>
      </c>
    </row>
    <row r="50" spans="2:7" ht="15.75">
      <c r="B50" s="35" t="s">
        <v>57</v>
      </c>
      <c r="C50" s="37">
        <v>-5533604.609999985</v>
      </c>
      <c r="D50" s="37">
        <v>4912774</v>
      </c>
      <c r="E50" s="32">
        <v>-10446378.609999985</v>
      </c>
      <c r="F50" s="37">
        <v>-10909598</v>
      </c>
      <c r="G50" s="95">
        <v>5375993.390000015</v>
      </c>
    </row>
    <row r="51" spans="2:7" ht="16.5" thickBot="1">
      <c r="B51" s="225" t="s">
        <v>56</v>
      </c>
      <c r="C51" s="211">
        <v>15608441.310000014</v>
      </c>
      <c r="D51" s="211">
        <v>26054819.919999998</v>
      </c>
      <c r="E51" s="227">
        <v>-10446377.609999985</v>
      </c>
      <c r="F51" s="211">
        <v>21142048.569999997</v>
      </c>
      <c r="G51" s="212">
        <v>-5533599.259999986</v>
      </c>
    </row>
    <row r="52" spans="2:7" ht="16.5" thickTop="1">
      <c r="B52" s="36"/>
      <c r="C52" s="16"/>
      <c r="D52" s="16"/>
      <c r="E52" s="16"/>
      <c r="F52" s="16"/>
      <c r="G52" s="97"/>
    </row>
    <row r="53" spans="2:7" ht="16.5" thickBot="1">
      <c r="B53" s="35"/>
      <c r="C53" s="13"/>
      <c r="D53" s="13"/>
      <c r="E53" s="13"/>
      <c r="F53" s="13"/>
      <c r="G53" s="96"/>
    </row>
    <row r="54" spans="2:7" ht="17.25" thickBot="1" thickTop="1">
      <c r="B54" s="229" t="s">
        <v>71</v>
      </c>
      <c r="C54" s="230">
        <v>23220642.860000014</v>
      </c>
      <c r="D54" s="230">
        <v>29462790.65</v>
      </c>
      <c r="E54" s="231">
        <v>-6242150.789999984</v>
      </c>
      <c r="F54" s="230">
        <v>25201776.509999998</v>
      </c>
      <c r="G54" s="232">
        <v>-1981131.6499999864</v>
      </c>
    </row>
    <row r="55" ht="16.5" thickTop="1"/>
    <row r="56" spans="3:7" ht="15.75">
      <c r="C56" s="20">
        <f>C35-C54</f>
        <v>-0.1600000225007534</v>
      </c>
      <c r="D56" s="20">
        <f>D35-D54</f>
        <v>-0.09000000357627869</v>
      </c>
      <c r="E56" s="20">
        <f>E35+E54</f>
        <v>0.07000001799315214</v>
      </c>
      <c r="F56" s="20">
        <f>F35-F54</f>
        <v>0.8799999952316284</v>
      </c>
      <c r="G56" s="20">
        <f>G35+G54</f>
        <v>0.0400000149384141</v>
      </c>
    </row>
  </sheetData>
  <sheetProtection/>
  <mergeCells count="3">
    <mergeCell ref="B1:G1"/>
    <mergeCell ref="B2:G2"/>
    <mergeCell ref="B3:G3"/>
  </mergeCells>
  <printOptions horizontalCentered="1"/>
  <pageMargins left="0.32" right="0.15748031496062992" top="0.1968503937007874" bottom="0.2362204724409449" header="0" footer="0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B1:K1714"/>
  <sheetViews>
    <sheetView zoomScale="80" zoomScaleNormal="80" zoomScalePageLayoutView="0" workbookViewId="0" topLeftCell="A1">
      <selection activeCell="I35" sqref="I35"/>
    </sheetView>
  </sheetViews>
  <sheetFormatPr defaultColWidth="10.00390625" defaultRowHeight="15.75"/>
  <cols>
    <col min="1" max="4" width="10.00390625" style="38" customWidth="1"/>
    <col min="5" max="5" width="13.00390625" style="38" customWidth="1"/>
    <col min="6" max="6" width="13.75390625" style="39" customWidth="1"/>
    <col min="7" max="7" width="11.125" style="38" bestFit="1" customWidth="1"/>
    <col min="8" max="8" width="20.50390625" style="39" customWidth="1"/>
    <col min="9" max="9" width="14.00390625" style="38" customWidth="1"/>
    <col min="10" max="10" width="18.125" style="38" customWidth="1"/>
    <col min="11" max="16384" width="10.00390625" style="38" customWidth="1"/>
  </cols>
  <sheetData>
    <row r="1" spans="2:8" ht="44.25" customHeight="1">
      <c r="B1" s="390" t="s">
        <v>146</v>
      </c>
      <c r="C1" s="391"/>
      <c r="D1" s="391"/>
      <c r="E1" s="391"/>
      <c r="F1" s="391"/>
      <c r="G1" s="391"/>
      <c r="H1" s="392"/>
    </row>
    <row r="2" spans="2:8" ht="15.75">
      <c r="B2" s="393" t="s">
        <v>160</v>
      </c>
      <c r="C2" s="380"/>
      <c r="D2" s="380"/>
      <c r="E2" s="380"/>
      <c r="F2" s="380"/>
      <c r="G2" s="380"/>
      <c r="H2" s="394"/>
    </row>
    <row r="3" spans="2:8" ht="16.5" thickBot="1">
      <c r="B3" s="395" t="s">
        <v>425</v>
      </c>
      <c r="C3" s="396"/>
      <c r="D3" s="396"/>
      <c r="E3" s="396"/>
      <c r="F3" s="396"/>
      <c r="G3" s="396"/>
      <c r="H3" s="397"/>
    </row>
    <row r="5" ht="15.75">
      <c r="C5" s="98"/>
    </row>
    <row r="6" spans="2:8" ht="14.25" hidden="1">
      <c r="B6" s="40" t="s">
        <v>108</v>
      </c>
      <c r="C6" s="40"/>
      <c r="D6" s="40"/>
      <c r="E6" s="40"/>
      <c r="F6" s="40"/>
      <c r="G6" s="41">
        <v>0</v>
      </c>
      <c r="H6" s="41"/>
    </row>
    <row r="7" spans="2:8" ht="14.25" hidden="1">
      <c r="B7" s="42" t="s">
        <v>109</v>
      </c>
      <c r="C7" s="42"/>
      <c r="D7" s="42"/>
      <c r="E7" s="42"/>
      <c r="F7" s="42"/>
      <c r="G7" s="43">
        <v>0</v>
      </c>
      <c r="H7" s="43"/>
    </row>
    <row r="8" spans="2:8" ht="15" thickBot="1">
      <c r="B8" s="129" t="s">
        <v>84</v>
      </c>
      <c r="C8" s="129"/>
      <c r="D8" s="129"/>
      <c r="E8" s="129"/>
      <c r="F8" s="129"/>
      <c r="G8" s="130"/>
      <c r="H8" s="131">
        <v>17554513</v>
      </c>
    </row>
    <row r="9" ht="15" thickTop="1"/>
    <row r="10" spans="2:8" ht="14.25">
      <c r="B10" s="132" t="s">
        <v>59</v>
      </c>
      <c r="C10" s="133"/>
      <c r="D10" s="133"/>
      <c r="E10" s="44"/>
      <c r="F10" s="45"/>
      <c r="G10" s="44"/>
      <c r="H10" s="45"/>
    </row>
    <row r="12" spans="2:8" ht="15">
      <c r="B12" s="46" t="s">
        <v>110</v>
      </c>
      <c r="H12" s="47">
        <f>F13+F14</f>
        <v>39549683</v>
      </c>
    </row>
    <row r="13" spans="2:6" ht="14.25">
      <c r="B13" s="38" t="s">
        <v>134</v>
      </c>
      <c r="F13" s="48">
        <v>39549683</v>
      </c>
    </row>
    <row r="14" spans="2:6" ht="14.25" hidden="1">
      <c r="B14" s="38" t="s">
        <v>132</v>
      </c>
      <c r="F14" s="54">
        <v>0</v>
      </c>
    </row>
    <row r="15" spans="2:6" ht="14.25" hidden="1">
      <c r="B15" s="38" t="s">
        <v>117</v>
      </c>
      <c r="F15" s="48">
        <v>0</v>
      </c>
    </row>
    <row r="16" spans="2:6" ht="14.25" hidden="1">
      <c r="B16" s="38" t="s">
        <v>112</v>
      </c>
      <c r="F16" s="48">
        <v>0</v>
      </c>
    </row>
    <row r="17" spans="2:6" ht="14.25" hidden="1">
      <c r="B17" s="38" t="s">
        <v>113</v>
      </c>
      <c r="F17" s="48">
        <v>0</v>
      </c>
    </row>
    <row r="18" ht="14.25">
      <c r="F18" s="48"/>
    </row>
    <row r="19" spans="2:8" ht="15" thickBot="1">
      <c r="B19" s="129" t="s">
        <v>122</v>
      </c>
      <c r="C19" s="129"/>
      <c r="D19" s="129"/>
      <c r="E19" s="129"/>
      <c r="F19" s="129"/>
      <c r="G19" s="130"/>
      <c r="H19" s="131">
        <f>H8+H12</f>
        <v>57104196</v>
      </c>
    </row>
    <row r="20" ht="15" thickTop="1"/>
    <row r="21" spans="2:4" ht="14.25">
      <c r="B21" s="132" t="s">
        <v>60</v>
      </c>
      <c r="C21" s="133"/>
      <c r="D21" s="133"/>
    </row>
    <row r="23" spans="2:7" ht="15">
      <c r="B23" s="46" t="s">
        <v>114</v>
      </c>
      <c r="G23" s="49">
        <f>SUM(F24:F27)</f>
        <v>28458518.03</v>
      </c>
    </row>
    <row r="24" spans="2:8" ht="14.25">
      <c r="B24" s="38" t="s">
        <v>92</v>
      </c>
      <c r="F24" s="50">
        <f>'[1]RESULTADOS '!BQ19</f>
        <v>22323109.610000003</v>
      </c>
      <c r="H24" s="49"/>
    </row>
    <row r="25" spans="2:8" ht="14.25">
      <c r="B25" s="38" t="s">
        <v>63</v>
      </c>
      <c r="F25" s="50">
        <f>'[1]RESULTADOS '!BQ20</f>
        <v>554193.95</v>
      </c>
      <c r="H25" s="49"/>
    </row>
    <row r="26" spans="2:10" ht="14.25">
      <c r="B26" s="38" t="s">
        <v>64</v>
      </c>
      <c r="F26" s="50">
        <f>'[1]RESULTADOS '!BQ21</f>
        <v>5581214.470000001</v>
      </c>
      <c r="H26" s="49"/>
      <c r="J26" s="57"/>
    </row>
    <row r="27" spans="2:8" ht="14.25">
      <c r="B27" s="38" t="s">
        <v>65</v>
      </c>
      <c r="F27" s="51">
        <v>0</v>
      </c>
      <c r="H27" s="49"/>
    </row>
    <row r="28" spans="6:8" ht="14.25">
      <c r="F28" s="38"/>
      <c r="H28" s="49"/>
    </row>
    <row r="29" spans="2:7" ht="15">
      <c r="B29" s="46" t="s">
        <v>77</v>
      </c>
      <c r="F29" s="38"/>
      <c r="G29" s="49">
        <f>SUM(F31:F33)</f>
        <v>19487335</v>
      </c>
    </row>
    <row r="30" spans="2:8" ht="14.25">
      <c r="B30" s="52"/>
      <c r="F30" s="38"/>
      <c r="G30" s="49"/>
      <c r="H30" s="49"/>
    </row>
    <row r="31" spans="2:8" ht="14.25">
      <c r="B31" s="38" t="s">
        <v>61</v>
      </c>
      <c r="F31" s="50">
        <f>'[1]RESULTADOS '!AY28</f>
        <v>18950841</v>
      </c>
      <c r="H31" s="49"/>
    </row>
    <row r="32" spans="2:8" ht="14.25">
      <c r="B32" s="38" t="s">
        <v>62</v>
      </c>
      <c r="F32" s="50">
        <f>'[1]RESULTADOS '!AY29</f>
        <v>536494</v>
      </c>
      <c r="H32" s="49"/>
    </row>
    <row r="33" spans="2:8" ht="14.25" hidden="1">
      <c r="B33" s="38" t="s">
        <v>49</v>
      </c>
      <c r="F33" s="53">
        <v>0</v>
      </c>
      <c r="H33" s="49"/>
    </row>
    <row r="34" spans="6:8" ht="14.25">
      <c r="F34" s="38"/>
      <c r="H34" s="49"/>
    </row>
    <row r="35" spans="2:8" ht="15" thickBot="1">
      <c r="B35" s="129" t="s">
        <v>115</v>
      </c>
      <c r="C35" s="129"/>
      <c r="D35" s="129"/>
      <c r="E35" s="129"/>
      <c r="F35" s="129"/>
      <c r="G35" s="130"/>
      <c r="H35" s="131">
        <f>+G23+G29</f>
        <v>47945853.03</v>
      </c>
    </row>
    <row r="36" ht="15" thickTop="1"/>
    <row r="38" spans="2:8" ht="15" thickBot="1">
      <c r="B38" s="134" t="s">
        <v>116</v>
      </c>
      <c r="C38" s="134"/>
      <c r="D38" s="134"/>
      <c r="E38" s="134"/>
      <c r="F38" s="134"/>
      <c r="G38" s="135"/>
      <c r="H38" s="136">
        <f>H19-H35</f>
        <v>9158342.969999999</v>
      </c>
    </row>
    <row r="39" spans="3:8" ht="15" thickTop="1">
      <c r="C39" s="38" t="s">
        <v>97</v>
      </c>
      <c r="H39" s="48" t="s">
        <v>97</v>
      </c>
    </row>
    <row r="40" spans="2:8" ht="15" thickBot="1">
      <c r="B40" s="129" t="s">
        <v>123</v>
      </c>
      <c r="C40" s="129"/>
      <c r="D40" s="129"/>
      <c r="E40" s="129"/>
      <c r="F40" s="129"/>
      <c r="G40" s="130"/>
      <c r="H40" s="131">
        <f>F42+F43+F44</f>
        <v>-45530.59</v>
      </c>
    </row>
    <row r="41" spans="3:8" ht="15" thickTop="1">
      <c r="C41" s="38" t="s">
        <v>97</v>
      </c>
      <c r="H41" s="38"/>
    </row>
    <row r="42" spans="2:6" ht="14.25">
      <c r="B42" s="38" t="s">
        <v>30</v>
      </c>
      <c r="F42" s="54">
        <f>47574.95-113010.54</f>
        <v>-65435.59</v>
      </c>
    </row>
    <row r="43" spans="2:6" ht="14.25">
      <c r="B43" s="38" t="s">
        <v>89</v>
      </c>
      <c r="F43" s="54">
        <v>19905</v>
      </c>
    </row>
    <row r="44" spans="2:8" ht="15" hidden="1" thickBot="1">
      <c r="B44" s="38" t="s">
        <v>47</v>
      </c>
      <c r="F44" s="55">
        <v>0</v>
      </c>
      <c r="H44" s="38"/>
    </row>
    <row r="46" ht="14.25">
      <c r="B46" s="38" t="s">
        <v>97</v>
      </c>
    </row>
    <row r="47" spans="2:8" ht="15" thickBot="1">
      <c r="B47" s="129" t="s">
        <v>124</v>
      </c>
      <c r="C47" s="129"/>
      <c r="D47" s="129"/>
      <c r="E47" s="129"/>
      <c r="F47" s="129"/>
      <c r="G47" s="130"/>
      <c r="H47" s="273">
        <f>F49-F60-F72</f>
        <v>3723187</v>
      </c>
    </row>
    <row r="48" ht="15" thickTop="1"/>
    <row r="49" spans="2:6" ht="16.5" customHeight="1">
      <c r="B49" s="46" t="s">
        <v>125</v>
      </c>
      <c r="F49" s="47">
        <f>SUM(E50:E58)</f>
        <v>5110160</v>
      </c>
    </row>
    <row r="50" spans="2:5" ht="14.25">
      <c r="B50" s="38" t="s">
        <v>98</v>
      </c>
      <c r="E50" s="80"/>
    </row>
    <row r="51" spans="2:5" ht="14.25">
      <c r="B51" s="38" t="s">
        <v>99</v>
      </c>
      <c r="E51" s="80">
        <v>315357</v>
      </c>
    </row>
    <row r="52" spans="2:6" ht="14.25">
      <c r="B52" s="38" t="s">
        <v>165</v>
      </c>
      <c r="E52" s="80">
        <v>196</v>
      </c>
      <c r="F52" s="48"/>
    </row>
    <row r="53" spans="2:5" ht="14.25" hidden="1">
      <c r="B53" s="38" t="s">
        <v>105</v>
      </c>
      <c r="E53" s="80"/>
    </row>
    <row r="54" spans="2:5" ht="14.25">
      <c r="B54" s="38" t="s">
        <v>94</v>
      </c>
      <c r="E54" s="80">
        <v>98638</v>
      </c>
    </row>
    <row r="55" spans="2:5" ht="14.25">
      <c r="B55" s="38" t="s">
        <v>100</v>
      </c>
      <c r="E55" s="80">
        <v>2771474</v>
      </c>
    </row>
    <row r="56" spans="2:6" ht="14.25">
      <c r="B56" s="38" t="s">
        <v>135</v>
      </c>
      <c r="E56" s="81">
        <v>414187</v>
      </c>
      <c r="F56" s="38"/>
    </row>
    <row r="57" spans="2:5" ht="14.25">
      <c r="B57" s="38" t="s">
        <v>102</v>
      </c>
      <c r="E57" s="80">
        <v>1510308</v>
      </c>
    </row>
    <row r="58" spans="2:5" ht="14.25">
      <c r="B58" s="38" t="s">
        <v>101</v>
      </c>
      <c r="E58" s="80"/>
    </row>
    <row r="59" spans="5:10" ht="14.25">
      <c r="E59" s="80"/>
      <c r="J59" s="57"/>
    </row>
    <row r="60" spans="2:10" ht="15">
      <c r="B60" s="46" t="s">
        <v>126</v>
      </c>
      <c r="E60" s="44"/>
      <c r="F60" s="47">
        <f>SUM(E61:E70)</f>
        <v>1386973</v>
      </c>
      <c r="J60" s="57"/>
    </row>
    <row r="61" spans="5:10" ht="14.25">
      <c r="E61" s="81"/>
      <c r="F61" s="79"/>
      <c r="J61" s="57"/>
    </row>
    <row r="62" spans="2:5" ht="14.25">
      <c r="B62" s="38" t="s">
        <v>98</v>
      </c>
      <c r="E62" s="80">
        <v>424075</v>
      </c>
    </row>
    <row r="63" spans="2:5" ht="14.25" hidden="1">
      <c r="B63" s="38" t="s">
        <v>99</v>
      </c>
      <c r="E63" s="80">
        <v>0</v>
      </c>
    </row>
    <row r="64" spans="2:6" ht="14.25" hidden="1">
      <c r="B64" s="38" t="s">
        <v>165</v>
      </c>
      <c r="E64" s="80"/>
      <c r="F64" s="48"/>
    </row>
    <row r="65" spans="2:5" ht="14.25">
      <c r="B65" s="38" t="s">
        <v>105</v>
      </c>
      <c r="E65" s="80">
        <v>372519</v>
      </c>
    </row>
    <row r="66" spans="2:5" ht="14.25" hidden="1">
      <c r="B66" s="38" t="s">
        <v>94</v>
      </c>
      <c r="E66" s="80"/>
    </row>
    <row r="67" spans="2:5" ht="14.25" hidden="1">
      <c r="B67" s="38" t="s">
        <v>100</v>
      </c>
      <c r="E67" s="80"/>
    </row>
    <row r="68" spans="2:6" ht="14.25" hidden="1">
      <c r="B68" s="38" t="s">
        <v>135</v>
      </c>
      <c r="E68" s="80"/>
      <c r="F68" s="38"/>
    </row>
    <row r="69" spans="2:5" ht="14.25" hidden="1">
      <c r="B69" s="38" t="s">
        <v>102</v>
      </c>
      <c r="E69" s="80"/>
    </row>
    <row r="70" spans="2:5" ht="14.25">
      <c r="B70" s="38" t="s">
        <v>101</v>
      </c>
      <c r="E70" s="48">
        <v>590379</v>
      </c>
    </row>
    <row r="71" spans="5:10" ht="14.25">
      <c r="E71" s="48"/>
      <c r="J71" s="57"/>
    </row>
    <row r="72" spans="2:10" ht="14.25" hidden="1">
      <c r="B72" s="52" t="s">
        <v>143</v>
      </c>
      <c r="E72" s="48"/>
      <c r="F72" s="47"/>
      <c r="J72" s="57"/>
    </row>
    <row r="73" spans="5:10" ht="14.25">
      <c r="E73" s="48"/>
      <c r="J73" s="57"/>
    </row>
    <row r="74" spans="2:11" ht="15" thickBot="1">
      <c r="B74" s="148" t="s">
        <v>85</v>
      </c>
      <c r="C74" s="149"/>
      <c r="D74" s="149"/>
      <c r="E74" s="149"/>
      <c r="F74" s="150"/>
      <c r="G74" s="149"/>
      <c r="H74" s="151">
        <f>H38+H40+H47</f>
        <v>12835999.379999999</v>
      </c>
      <c r="K74" s="86"/>
    </row>
    <row r="75" ht="15" thickTop="1"/>
    <row r="1481" ht="14.25">
      <c r="C1481" s="38" t="s">
        <v>97</v>
      </c>
    </row>
    <row r="1714" ht="14.25">
      <c r="C1714" s="38" t="s">
        <v>97</v>
      </c>
    </row>
  </sheetData>
  <sheetProtection/>
  <mergeCells count="3">
    <mergeCell ref="B1:H1"/>
    <mergeCell ref="B2:H2"/>
    <mergeCell ref="B3:H3"/>
  </mergeCells>
  <printOptions/>
  <pageMargins left="1.299212598425197" right="0.2362204724409449" top="0.7874015748031497" bottom="0.2755905511811024" header="0.1968503937007874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1:K1729"/>
  <sheetViews>
    <sheetView zoomScale="86" zoomScaleNormal="86" zoomScalePageLayoutView="0" workbookViewId="0" topLeftCell="A1">
      <selection activeCell="I74" sqref="I74:I77"/>
    </sheetView>
  </sheetViews>
  <sheetFormatPr defaultColWidth="10.00390625" defaultRowHeight="15.75"/>
  <cols>
    <col min="1" max="3" width="10.00390625" style="38" customWidth="1"/>
    <col min="4" max="4" width="13.50390625" style="38" customWidth="1"/>
    <col min="5" max="5" width="13.875" style="38" customWidth="1"/>
    <col min="6" max="6" width="16.25390625" style="39" customWidth="1"/>
    <col min="7" max="7" width="15.25390625" style="38" customWidth="1"/>
    <col min="8" max="8" width="21.375" style="39" customWidth="1"/>
    <col min="9" max="9" width="14.625" style="38" customWidth="1"/>
    <col min="10" max="10" width="21.875" style="38" customWidth="1"/>
    <col min="11" max="16384" width="10.00390625" style="38" customWidth="1"/>
  </cols>
  <sheetData>
    <row r="1" spans="2:8" ht="18">
      <c r="B1" s="398" t="s">
        <v>146</v>
      </c>
      <c r="C1" s="399"/>
      <c r="D1" s="399"/>
      <c r="E1" s="399"/>
      <c r="F1" s="399"/>
      <c r="G1" s="399"/>
      <c r="H1" s="400"/>
    </row>
    <row r="2" spans="2:8" ht="15.75">
      <c r="B2" s="393" t="s">
        <v>159</v>
      </c>
      <c r="C2" s="380"/>
      <c r="D2" s="380"/>
      <c r="E2" s="380"/>
      <c r="F2" s="380"/>
      <c r="G2" s="380"/>
      <c r="H2" s="394"/>
    </row>
    <row r="3" spans="2:8" ht="16.5" thickBot="1">
      <c r="B3" s="395" t="s">
        <v>426</v>
      </c>
      <c r="C3" s="396"/>
      <c r="D3" s="396"/>
      <c r="E3" s="396"/>
      <c r="F3" s="396"/>
      <c r="G3" s="396"/>
      <c r="H3" s="397"/>
    </row>
    <row r="4" spans="2:8" ht="14.25">
      <c r="B4" s="58" t="s">
        <v>97</v>
      </c>
      <c r="C4" s="58"/>
      <c r="D4" s="58"/>
      <c r="E4" s="58"/>
      <c r="F4" s="59"/>
      <c r="G4" s="58"/>
      <c r="H4" s="59"/>
    </row>
    <row r="5" spans="2:8" ht="14.25">
      <c r="B5" s="58"/>
      <c r="C5" s="58"/>
      <c r="D5" s="58"/>
      <c r="E5" s="58"/>
      <c r="F5" s="59"/>
      <c r="G5" s="58"/>
      <c r="H5" s="59"/>
    </row>
    <row r="6" spans="2:8" ht="14.25" hidden="1">
      <c r="B6" s="60" t="s">
        <v>108</v>
      </c>
      <c r="C6" s="60"/>
      <c r="D6" s="60"/>
      <c r="E6" s="60"/>
      <c r="F6" s="60"/>
      <c r="G6" s="61">
        <v>0</v>
      </c>
      <c r="H6" s="61"/>
    </row>
    <row r="7" spans="2:8" ht="14.25" hidden="1">
      <c r="B7" s="62" t="s">
        <v>109</v>
      </c>
      <c r="C7" s="62"/>
      <c r="D7" s="62"/>
      <c r="E7" s="62"/>
      <c r="F7" s="62"/>
      <c r="G7" s="63">
        <v>0</v>
      </c>
      <c r="H7" s="63"/>
    </row>
    <row r="8" spans="2:8" ht="15" thickBot="1">
      <c r="B8" s="137" t="s">
        <v>58</v>
      </c>
      <c r="C8" s="137"/>
      <c r="D8" s="137"/>
      <c r="E8" s="137"/>
      <c r="F8" s="137"/>
      <c r="G8" s="138"/>
      <c r="H8" s="138">
        <v>3890853</v>
      </c>
    </row>
    <row r="9" spans="2:9" ht="15" thickTop="1">
      <c r="B9" s="58" t="s">
        <v>370</v>
      </c>
      <c r="C9" s="58"/>
      <c r="D9" s="58"/>
      <c r="E9" s="58"/>
      <c r="F9" s="59"/>
      <c r="G9" s="64" t="s">
        <v>97</v>
      </c>
      <c r="H9" s="64">
        <v>1854122</v>
      </c>
      <c r="I9" s="92"/>
    </row>
    <row r="10" spans="2:8" ht="15" thickBot="1">
      <c r="B10" s="137" t="s">
        <v>371</v>
      </c>
      <c r="C10" s="137"/>
      <c r="D10" s="137"/>
      <c r="E10" s="137"/>
      <c r="F10" s="137"/>
      <c r="G10" s="138"/>
      <c r="H10" s="139">
        <f>H8-H9+2</f>
        <v>2036733</v>
      </c>
    </row>
    <row r="11" spans="2:8" ht="15" thickTop="1">
      <c r="B11" s="58"/>
      <c r="C11" s="58"/>
      <c r="D11" s="58"/>
      <c r="E11" s="58"/>
      <c r="F11" s="59"/>
      <c r="G11" s="58"/>
      <c r="H11" s="59"/>
    </row>
    <row r="12" spans="2:8" ht="14.25">
      <c r="B12" s="140" t="s">
        <v>59</v>
      </c>
      <c r="C12" s="141"/>
      <c r="D12" s="141"/>
      <c r="E12" s="65"/>
      <c r="F12" s="66"/>
      <c r="G12" s="65"/>
      <c r="H12" s="66"/>
    </row>
    <row r="13" spans="2:10" ht="14.25">
      <c r="B13" s="58"/>
      <c r="C13" s="58"/>
      <c r="D13" s="58"/>
      <c r="E13" s="58"/>
      <c r="F13" s="59"/>
      <c r="G13" s="58"/>
      <c r="H13" s="59"/>
      <c r="J13" s="90"/>
    </row>
    <row r="14" spans="2:11" ht="15">
      <c r="B14" s="67" t="s">
        <v>110</v>
      </c>
      <c r="C14" s="58"/>
      <c r="D14" s="58"/>
      <c r="E14" s="58"/>
      <c r="F14" s="59"/>
      <c r="G14" s="58"/>
      <c r="H14" s="68">
        <f>F15+F16+F17+F19+F18</f>
        <v>370982091</v>
      </c>
      <c r="K14" s="91"/>
    </row>
    <row r="15" spans="2:8" ht="17.25" customHeight="1">
      <c r="B15" s="58" t="s">
        <v>111</v>
      </c>
      <c r="C15" s="58"/>
      <c r="D15" s="58"/>
      <c r="E15" s="58"/>
      <c r="F15" s="64">
        <v>370982091</v>
      </c>
      <c r="G15" s="58"/>
      <c r="H15" s="59"/>
    </row>
    <row r="16" spans="2:8" ht="14.25" hidden="1">
      <c r="B16" s="58" t="s">
        <v>133</v>
      </c>
      <c r="C16" s="58"/>
      <c r="D16" s="58"/>
      <c r="E16" s="58"/>
      <c r="F16" s="64">
        <v>0</v>
      </c>
      <c r="G16" s="58"/>
      <c r="H16" s="59"/>
    </row>
    <row r="17" spans="2:8" ht="14.25" hidden="1">
      <c r="B17" s="58" t="s">
        <v>132</v>
      </c>
      <c r="C17" s="58"/>
      <c r="D17" s="58"/>
      <c r="E17" s="58"/>
      <c r="F17" s="83">
        <v>0</v>
      </c>
      <c r="G17" s="58"/>
      <c r="H17" s="59"/>
    </row>
    <row r="18" spans="2:8" ht="14.25" hidden="1">
      <c r="B18" s="58" t="s">
        <v>112</v>
      </c>
      <c r="C18" s="58"/>
      <c r="D18" s="58"/>
      <c r="E18" s="58"/>
      <c r="F18" s="64">
        <v>0</v>
      </c>
      <c r="G18" s="58"/>
      <c r="H18" s="59"/>
    </row>
    <row r="19" spans="2:8" ht="14.25" hidden="1">
      <c r="B19" s="58" t="s">
        <v>113</v>
      </c>
      <c r="C19" s="58"/>
      <c r="D19" s="58"/>
      <c r="E19" s="58"/>
      <c r="F19" s="64">
        <v>0</v>
      </c>
      <c r="G19" s="58"/>
      <c r="H19" s="59"/>
    </row>
    <row r="20" spans="2:10" ht="14.25">
      <c r="B20" s="58"/>
      <c r="C20" s="58"/>
      <c r="D20" s="58"/>
      <c r="E20" s="58"/>
      <c r="F20" s="64"/>
      <c r="G20" s="58"/>
      <c r="H20" s="59"/>
      <c r="J20" s="88"/>
    </row>
    <row r="21" spans="2:8" ht="15" thickBot="1">
      <c r="B21" s="137" t="s">
        <v>122</v>
      </c>
      <c r="C21" s="137"/>
      <c r="D21" s="137"/>
      <c r="E21" s="137"/>
      <c r="F21" s="137"/>
      <c r="G21" s="138"/>
      <c r="H21" s="138">
        <f>+H14+H8</f>
        <v>374872944</v>
      </c>
    </row>
    <row r="22" spans="2:10" ht="15" thickTop="1">
      <c r="B22" s="58"/>
      <c r="C22" s="58"/>
      <c r="D22" s="58"/>
      <c r="E22" s="58"/>
      <c r="F22" s="59"/>
      <c r="G22" s="58"/>
      <c r="H22" s="59"/>
      <c r="J22" s="90"/>
    </row>
    <row r="23" spans="2:11" ht="14.25">
      <c r="B23" s="142" t="s">
        <v>60</v>
      </c>
      <c r="C23" s="141"/>
      <c r="D23" s="141"/>
      <c r="E23" s="58"/>
      <c r="F23" s="59"/>
      <c r="G23" s="58"/>
      <c r="H23" s="59"/>
      <c r="J23" s="87"/>
      <c r="K23" s="90"/>
    </row>
    <row r="24" spans="2:8" ht="14.25">
      <c r="B24" s="58"/>
      <c r="C24" s="58"/>
      <c r="D24" s="58"/>
      <c r="E24" s="58"/>
      <c r="F24" s="59"/>
      <c r="G24" s="58"/>
      <c r="H24" s="59"/>
    </row>
    <row r="25" spans="2:10" ht="15">
      <c r="B25" s="67" t="s">
        <v>114</v>
      </c>
      <c r="C25" s="58"/>
      <c r="D25" s="58"/>
      <c r="E25" s="58"/>
      <c r="F25" s="59"/>
      <c r="G25" s="69">
        <f>SUM(F26:F29)</f>
        <v>131510924.03</v>
      </c>
      <c r="H25" s="59"/>
      <c r="J25" s="89"/>
    </row>
    <row r="26" spans="2:8" ht="14.25">
      <c r="B26" s="58" t="s">
        <v>92</v>
      </c>
      <c r="C26" s="58"/>
      <c r="D26" s="58"/>
      <c r="E26" s="58"/>
      <c r="F26" s="70">
        <f>'[1]RESULTADOS '!BR19</f>
        <v>110120035.61</v>
      </c>
      <c r="G26" s="58"/>
      <c r="H26" s="69"/>
    </row>
    <row r="27" spans="2:8" ht="14.25">
      <c r="B27" s="58" t="s">
        <v>74</v>
      </c>
      <c r="C27" s="58"/>
      <c r="D27" s="58"/>
      <c r="E27" s="58"/>
      <c r="F27" s="70">
        <f>'[1]RESULTADOS '!BR20</f>
        <v>2009302.95</v>
      </c>
      <c r="G27" s="58"/>
      <c r="H27" s="69"/>
    </row>
    <row r="28" spans="2:8" ht="14.25">
      <c r="B28" s="58" t="s">
        <v>75</v>
      </c>
      <c r="C28" s="58"/>
      <c r="D28" s="58"/>
      <c r="E28" s="58"/>
      <c r="F28" s="70">
        <f>'[1]RESULTADOS '!BR21</f>
        <v>19381585.47</v>
      </c>
      <c r="G28" s="58"/>
      <c r="H28" s="69"/>
    </row>
    <row r="29" spans="2:10" ht="14.25">
      <c r="B29" s="58" t="s">
        <v>320</v>
      </c>
      <c r="C29" s="58"/>
      <c r="D29" s="58"/>
      <c r="E29" s="58"/>
      <c r="F29" s="70">
        <v>0</v>
      </c>
      <c r="G29" s="58"/>
      <c r="H29" s="69"/>
      <c r="J29" s="88"/>
    </row>
    <row r="30" spans="2:8" ht="14.25">
      <c r="B30" s="58"/>
      <c r="C30" s="58"/>
      <c r="D30" s="58"/>
      <c r="E30" s="58"/>
      <c r="F30" s="58"/>
      <c r="G30" s="58"/>
      <c r="H30" s="69"/>
    </row>
    <row r="31" spans="2:8" ht="15">
      <c r="B31" s="67" t="s">
        <v>77</v>
      </c>
      <c r="C31" s="58"/>
      <c r="D31" s="58"/>
      <c r="E31" s="58"/>
      <c r="F31" s="58"/>
      <c r="G31" s="69">
        <f>SUM(F33:F35)</f>
        <v>233848013.79</v>
      </c>
      <c r="H31" s="59"/>
    </row>
    <row r="32" spans="2:8" ht="14.25" hidden="1">
      <c r="B32" s="71"/>
      <c r="C32" s="58"/>
      <c r="D32" s="58"/>
      <c r="E32" s="58"/>
      <c r="F32" s="58"/>
      <c r="G32" s="69"/>
      <c r="H32" s="69"/>
    </row>
    <row r="33" spans="2:8" ht="14.25">
      <c r="B33" s="58" t="s">
        <v>61</v>
      </c>
      <c r="C33" s="58"/>
      <c r="D33" s="58"/>
      <c r="E33" s="58"/>
      <c r="F33" s="70">
        <f>'[1]RESULTADOS '!BR28-2</f>
        <v>227410090</v>
      </c>
      <c r="G33" s="58"/>
      <c r="H33" s="69"/>
    </row>
    <row r="34" spans="2:8" ht="14.25">
      <c r="B34" s="58" t="s">
        <v>62</v>
      </c>
      <c r="C34" s="58"/>
      <c r="D34" s="58"/>
      <c r="E34" s="58"/>
      <c r="F34" s="70">
        <f>'[1]RESULTADOS '!BR29+2</f>
        <v>6437923.79</v>
      </c>
      <c r="G34" s="58"/>
      <c r="H34" s="69"/>
    </row>
    <row r="35" spans="2:8" ht="14.25" hidden="1">
      <c r="B35" s="58" t="s">
        <v>49</v>
      </c>
      <c r="C35" s="58"/>
      <c r="D35" s="58"/>
      <c r="E35" s="58"/>
      <c r="F35" s="70">
        <f>'ORIGEN Y APLIC. NUEVA MES'!F33</f>
        <v>0</v>
      </c>
      <c r="G35" s="58"/>
      <c r="H35" s="69"/>
    </row>
    <row r="36" spans="2:8" ht="14.25">
      <c r="B36" s="58"/>
      <c r="C36" s="58"/>
      <c r="D36" s="58"/>
      <c r="E36" s="58"/>
      <c r="F36" s="58"/>
      <c r="G36" s="58"/>
      <c r="H36" s="69"/>
    </row>
    <row r="37" spans="2:8" ht="15" thickBot="1">
      <c r="B37" s="137" t="s">
        <v>115</v>
      </c>
      <c r="C37" s="137"/>
      <c r="D37" s="137"/>
      <c r="E37" s="137"/>
      <c r="F37" s="137"/>
      <c r="G37" s="138"/>
      <c r="H37" s="138">
        <f>+G25+G31</f>
        <v>365358937.82</v>
      </c>
    </row>
    <row r="38" spans="2:10" ht="15" thickTop="1">
      <c r="B38" s="58"/>
      <c r="C38" s="58"/>
      <c r="D38" s="58"/>
      <c r="E38" s="58"/>
      <c r="F38" s="59"/>
      <c r="G38" s="58"/>
      <c r="H38" s="59"/>
      <c r="J38" s="79"/>
    </row>
    <row r="39" spans="2:10" ht="14.25">
      <c r="B39" s="58"/>
      <c r="C39" s="58"/>
      <c r="D39" s="58"/>
      <c r="E39" s="58"/>
      <c r="F39" s="59"/>
      <c r="G39" s="58"/>
      <c r="H39" s="59"/>
      <c r="J39" s="89"/>
    </row>
    <row r="40" spans="2:8" ht="15" thickBot="1">
      <c r="B40" s="142" t="s">
        <v>116</v>
      </c>
      <c r="C40" s="141"/>
      <c r="D40" s="141"/>
      <c r="E40" s="141"/>
      <c r="F40" s="143"/>
      <c r="G40" s="141"/>
      <c r="H40" s="144">
        <f>H21-H37</f>
        <v>9514006.180000007</v>
      </c>
    </row>
    <row r="41" spans="2:8" ht="15" thickTop="1">
      <c r="B41" s="58"/>
      <c r="C41" s="58" t="s">
        <v>97</v>
      </c>
      <c r="D41" s="58"/>
      <c r="E41" s="58"/>
      <c r="F41" s="59"/>
      <c r="G41" s="58"/>
      <c r="H41" s="64" t="s">
        <v>97</v>
      </c>
    </row>
    <row r="42" spans="2:8" ht="15" thickBot="1">
      <c r="B42" s="137" t="s">
        <v>123</v>
      </c>
      <c r="C42" s="137"/>
      <c r="D42" s="137"/>
      <c r="E42" s="137"/>
      <c r="F42" s="137"/>
      <c r="G42" s="138"/>
      <c r="H42" s="138">
        <f>F44+F45+F46+F47</f>
        <v>679170.28</v>
      </c>
    </row>
    <row r="43" spans="2:8" ht="15" thickTop="1">
      <c r="B43" s="58"/>
      <c r="C43" s="58" t="s">
        <v>97</v>
      </c>
      <c r="D43" s="58"/>
      <c r="E43" s="58"/>
      <c r="F43" s="59"/>
      <c r="G43" s="58"/>
      <c r="H43" s="58"/>
    </row>
    <row r="44" spans="2:8" ht="14.25">
      <c r="B44" s="58" t="s">
        <v>30</v>
      </c>
      <c r="C44" s="58"/>
      <c r="D44" s="58"/>
      <c r="E44" s="58"/>
      <c r="F44" s="64">
        <v>363430.35</v>
      </c>
      <c r="G44" s="58"/>
      <c r="H44" s="59"/>
    </row>
    <row r="45" spans="2:8" ht="14.25">
      <c r="B45" s="58" t="s">
        <v>89</v>
      </c>
      <c r="C45" s="58"/>
      <c r="D45" s="58"/>
      <c r="E45" s="58"/>
      <c r="F45" s="64">
        <v>315739.93</v>
      </c>
      <c r="G45" s="58"/>
      <c r="H45" s="59"/>
    </row>
    <row r="46" spans="2:8" ht="14.25" hidden="1">
      <c r="B46" s="58" t="s">
        <v>47</v>
      </c>
      <c r="C46" s="58"/>
      <c r="D46" s="58"/>
      <c r="E46" s="58"/>
      <c r="F46" s="64">
        <f>'ORIGEN Y APLIC. NUEVA MES'!F44</f>
        <v>0</v>
      </c>
      <c r="G46" s="58"/>
      <c r="H46" s="59"/>
    </row>
    <row r="47" spans="2:8" ht="15" hidden="1" thickBot="1">
      <c r="B47" s="58" t="s">
        <v>118</v>
      </c>
      <c r="C47" s="58"/>
      <c r="D47" s="58"/>
      <c r="E47" s="58"/>
      <c r="F47" s="72">
        <f>E48+E50</f>
        <v>0</v>
      </c>
      <c r="G47" s="58"/>
      <c r="H47" s="58"/>
    </row>
    <row r="48" spans="2:8" ht="14.25" hidden="1">
      <c r="B48" s="58" t="s">
        <v>119</v>
      </c>
      <c r="C48" s="58"/>
      <c r="D48" s="58"/>
      <c r="E48" s="73">
        <v>0</v>
      </c>
      <c r="F48" s="59"/>
      <c r="G48" s="58"/>
      <c r="H48" s="59"/>
    </row>
    <row r="49" spans="2:8" ht="14.25" hidden="1">
      <c r="B49" s="58" t="s">
        <v>121</v>
      </c>
      <c r="C49" s="58"/>
      <c r="D49" s="58"/>
      <c r="E49" s="73">
        <v>0</v>
      </c>
      <c r="F49" s="59"/>
      <c r="G49" s="58"/>
      <c r="H49" s="59"/>
    </row>
    <row r="50" spans="2:8" ht="15" hidden="1" thickBot="1">
      <c r="B50" s="58" t="s">
        <v>120</v>
      </c>
      <c r="C50" s="58"/>
      <c r="D50" s="58"/>
      <c r="E50" s="74">
        <v>0</v>
      </c>
      <c r="F50" s="75"/>
      <c r="G50" s="58"/>
      <c r="H50" s="59"/>
    </row>
    <row r="51" spans="2:8" ht="14.25">
      <c r="B51" s="58"/>
      <c r="C51" s="58"/>
      <c r="D51" s="58"/>
      <c r="E51" s="76"/>
      <c r="F51" s="75"/>
      <c r="G51" s="58"/>
      <c r="H51" s="59"/>
    </row>
    <row r="52" spans="2:8" ht="15" thickBot="1">
      <c r="B52" s="145" t="s">
        <v>131</v>
      </c>
      <c r="C52" s="145"/>
      <c r="D52" s="145"/>
      <c r="E52" s="145"/>
      <c r="F52" s="145"/>
      <c r="G52" s="146"/>
      <c r="H52" s="147">
        <f>H40+H42</f>
        <v>10193176.460000006</v>
      </c>
    </row>
    <row r="53" spans="2:8" ht="15" hidden="1" thickTop="1">
      <c r="B53" s="58"/>
      <c r="C53" s="58"/>
      <c r="D53" s="58"/>
      <c r="E53" s="58"/>
      <c r="F53" s="59"/>
      <c r="G53" s="58"/>
      <c r="H53" s="59"/>
    </row>
    <row r="54" spans="2:8" ht="15" thickTop="1">
      <c r="B54" s="58" t="s">
        <v>128</v>
      </c>
      <c r="C54" s="58"/>
      <c r="D54" s="58"/>
      <c r="E54" s="58"/>
      <c r="F54" s="59" t="s">
        <v>97</v>
      </c>
      <c r="G54" s="58"/>
      <c r="H54" s="59"/>
    </row>
    <row r="55" spans="2:8" ht="15" thickBot="1">
      <c r="B55" s="137" t="s">
        <v>127</v>
      </c>
      <c r="C55" s="137"/>
      <c r="D55" s="137"/>
      <c r="E55" s="137"/>
      <c r="F55" s="137"/>
      <c r="G55" s="138"/>
      <c r="H55" s="139">
        <f>+F58+F63-F75-F87</f>
        <v>2642818</v>
      </c>
    </row>
    <row r="56" spans="2:8" ht="15" thickTop="1">
      <c r="B56" s="58"/>
      <c r="C56" s="58"/>
      <c r="D56" s="58"/>
      <c r="E56" s="58"/>
      <c r="F56" s="59"/>
      <c r="G56" s="58"/>
      <c r="H56" s="59"/>
    </row>
    <row r="57" spans="2:8" ht="14.25" hidden="1">
      <c r="B57" s="71" t="s">
        <v>140</v>
      </c>
      <c r="C57" s="58"/>
      <c r="D57" s="58"/>
      <c r="E57" s="58"/>
      <c r="F57" s="59"/>
      <c r="G57" s="58"/>
      <c r="H57" s="59"/>
    </row>
    <row r="58" spans="2:9" ht="14.25" hidden="1">
      <c r="B58" s="71" t="s">
        <v>139</v>
      </c>
      <c r="C58" s="58"/>
      <c r="D58" s="58"/>
      <c r="E58" s="65"/>
      <c r="F58" s="77">
        <f>SUM(E60:E62)</f>
        <v>0</v>
      </c>
      <c r="G58" s="58"/>
      <c r="H58" s="59"/>
      <c r="I58" s="56"/>
    </row>
    <row r="59" spans="2:9" ht="14.25" hidden="1">
      <c r="B59" s="71"/>
      <c r="C59" s="58"/>
      <c r="D59" s="58"/>
      <c r="E59" s="65"/>
      <c r="F59" s="77"/>
      <c r="G59" s="58"/>
      <c r="H59" s="59"/>
      <c r="I59" s="56"/>
    </row>
    <row r="60" spans="2:9" ht="14.25" hidden="1">
      <c r="B60" s="71"/>
      <c r="C60" s="58"/>
      <c r="D60" s="58"/>
      <c r="E60" s="65">
        <v>0</v>
      </c>
      <c r="F60" s="77"/>
      <c r="G60" s="58"/>
      <c r="H60" s="59"/>
      <c r="I60" s="56"/>
    </row>
    <row r="61" spans="2:9" ht="14.25" hidden="1">
      <c r="B61" s="71"/>
      <c r="C61" s="58"/>
      <c r="D61" s="58"/>
      <c r="E61" s="65">
        <v>0</v>
      </c>
      <c r="F61" s="77"/>
      <c r="G61" s="58"/>
      <c r="H61" s="59"/>
      <c r="I61" s="56"/>
    </row>
    <row r="62" spans="2:8" ht="14.25" hidden="1">
      <c r="B62" s="58"/>
      <c r="C62" s="58"/>
      <c r="D62" s="58"/>
      <c r="E62" s="77">
        <v>0</v>
      </c>
      <c r="F62" s="66"/>
      <c r="G62" s="58"/>
      <c r="H62" s="59"/>
    </row>
    <row r="63" spans="2:8" ht="14.25">
      <c r="B63" s="71" t="s">
        <v>137</v>
      </c>
      <c r="C63" s="58"/>
      <c r="D63" s="58"/>
      <c r="E63" s="65"/>
      <c r="F63" s="85">
        <f>SUM(E64:E73)</f>
        <v>3552468</v>
      </c>
      <c r="G63" s="58"/>
      <c r="H63" s="59"/>
    </row>
    <row r="64" spans="2:5" ht="14.25">
      <c r="B64" s="38" t="s">
        <v>98</v>
      </c>
      <c r="E64" s="48"/>
    </row>
    <row r="65" spans="2:5" ht="14.25">
      <c r="B65" s="38" t="s">
        <v>99</v>
      </c>
      <c r="E65" s="48"/>
    </row>
    <row r="66" spans="2:6" ht="14.25">
      <c r="B66" s="38" t="s">
        <v>165</v>
      </c>
      <c r="E66" s="80"/>
      <c r="F66" s="48"/>
    </row>
    <row r="67" spans="2:5" ht="14.25">
      <c r="B67" s="38" t="s">
        <v>105</v>
      </c>
      <c r="E67" s="48"/>
    </row>
    <row r="68" spans="2:5" ht="14.25">
      <c r="B68" s="38" t="s">
        <v>94</v>
      </c>
      <c r="E68" s="48">
        <v>60705</v>
      </c>
    </row>
    <row r="69" spans="2:5" ht="14.25">
      <c r="B69" s="38" t="s">
        <v>100</v>
      </c>
      <c r="E69" s="48">
        <v>1725099</v>
      </c>
    </row>
    <row r="70" spans="2:6" ht="14.25">
      <c r="B70" s="38" t="s">
        <v>135</v>
      </c>
      <c r="E70" s="81">
        <v>214319</v>
      </c>
      <c r="F70" s="38"/>
    </row>
    <row r="71" spans="2:5" ht="14.25">
      <c r="B71" s="38" t="s">
        <v>102</v>
      </c>
      <c r="E71" s="48">
        <v>1531605</v>
      </c>
    </row>
    <row r="72" spans="2:5" ht="14.25">
      <c r="B72" s="38" t="s">
        <v>101</v>
      </c>
      <c r="E72" s="48">
        <v>20740</v>
      </c>
    </row>
    <row r="73" spans="2:5" ht="14.25" hidden="1">
      <c r="B73" s="38" t="s">
        <v>167</v>
      </c>
      <c r="E73" s="48"/>
    </row>
    <row r="74" spans="2:9" ht="14.25">
      <c r="B74" s="58" t="s">
        <v>130</v>
      </c>
      <c r="C74" s="58"/>
      <c r="D74" s="58"/>
      <c r="E74" s="48"/>
      <c r="F74" s="66"/>
      <c r="G74" s="58"/>
      <c r="H74" s="59"/>
      <c r="I74" s="56"/>
    </row>
    <row r="75" spans="2:9" ht="15" customHeight="1">
      <c r="B75" s="71" t="s">
        <v>138</v>
      </c>
      <c r="C75" s="58"/>
      <c r="D75" s="58"/>
      <c r="E75" s="44"/>
      <c r="F75" s="84">
        <f>SUM(E76:E85)</f>
        <v>909650</v>
      </c>
      <c r="G75" s="58"/>
      <c r="H75" s="59"/>
      <c r="I75" s="57"/>
    </row>
    <row r="76" spans="2:9" ht="15" customHeight="1" hidden="1">
      <c r="B76" s="38" t="s">
        <v>98</v>
      </c>
      <c r="C76" s="58"/>
      <c r="D76" s="58"/>
      <c r="E76" s="81">
        <v>424075</v>
      </c>
      <c r="F76" s="78"/>
      <c r="G76" s="58"/>
      <c r="H76" s="59"/>
      <c r="I76" s="57"/>
    </row>
    <row r="77" spans="2:8" ht="15" customHeight="1">
      <c r="B77" s="38" t="s">
        <v>99</v>
      </c>
      <c r="C77" s="58"/>
      <c r="D77" s="58"/>
      <c r="E77" s="48">
        <v>112933</v>
      </c>
      <c r="F77" s="78"/>
      <c r="G77" s="58"/>
      <c r="H77" s="59"/>
    </row>
    <row r="78" spans="2:8" ht="14.25">
      <c r="B78" s="38" t="s">
        <v>165</v>
      </c>
      <c r="C78" s="58"/>
      <c r="D78" s="58"/>
      <c r="E78" s="48">
        <v>124</v>
      </c>
      <c r="F78" s="65"/>
      <c r="G78" s="58"/>
      <c r="H78" s="58"/>
    </row>
    <row r="79" spans="2:8" ht="14.25">
      <c r="B79" s="38" t="s">
        <v>105</v>
      </c>
      <c r="C79" s="58"/>
      <c r="D79" s="58"/>
      <c r="E79" s="80">
        <v>372518</v>
      </c>
      <c r="F79" s="66"/>
      <c r="G79" s="58"/>
      <c r="H79" s="59"/>
    </row>
    <row r="80" spans="2:8" ht="14.25" hidden="1">
      <c r="B80" s="38" t="s">
        <v>94</v>
      </c>
      <c r="C80" s="58"/>
      <c r="D80" s="58"/>
      <c r="E80" s="48"/>
      <c r="F80" s="66"/>
      <c r="G80" s="58"/>
      <c r="H80" s="59"/>
    </row>
    <row r="81" spans="2:8" ht="14.25" hidden="1">
      <c r="B81" s="38" t="s">
        <v>100</v>
      </c>
      <c r="C81" s="58"/>
      <c r="D81" s="58"/>
      <c r="E81" s="48"/>
      <c r="F81" s="66"/>
      <c r="G81" s="58"/>
      <c r="H81" s="59"/>
    </row>
    <row r="82" spans="2:8" ht="14.25" hidden="1">
      <c r="B82" s="38" t="s">
        <v>135</v>
      </c>
      <c r="C82" s="58"/>
      <c r="D82" s="58"/>
      <c r="E82" s="48"/>
      <c r="F82" s="66"/>
      <c r="G82" s="58"/>
      <c r="H82" s="59"/>
    </row>
    <row r="83" spans="2:8" ht="14.25" hidden="1">
      <c r="B83" s="38" t="s">
        <v>102</v>
      </c>
      <c r="C83" s="58"/>
      <c r="D83" s="58"/>
      <c r="E83" s="81"/>
      <c r="F83" s="66"/>
      <c r="G83" s="58"/>
      <c r="H83" s="59"/>
    </row>
    <row r="84" spans="2:8" ht="14.25" hidden="1">
      <c r="B84" s="38" t="s">
        <v>101</v>
      </c>
      <c r="C84" s="58"/>
      <c r="D84" s="58"/>
      <c r="E84" s="78"/>
      <c r="F84" s="66"/>
      <c r="G84" s="58"/>
      <c r="H84" s="59"/>
    </row>
    <row r="85" spans="2:8" ht="14.25">
      <c r="B85" s="58"/>
      <c r="C85" s="58"/>
      <c r="D85" s="58"/>
      <c r="E85" s="78"/>
      <c r="F85" s="66"/>
      <c r="G85" s="58"/>
      <c r="H85" s="59"/>
    </row>
    <row r="86" spans="2:8" ht="14.25" hidden="1">
      <c r="B86" s="58"/>
      <c r="C86" s="58"/>
      <c r="D86" s="58"/>
      <c r="E86" s="78"/>
      <c r="F86" s="66"/>
      <c r="G86" s="58"/>
      <c r="H86" s="59"/>
    </row>
    <row r="87" spans="2:10" ht="14.25" hidden="1">
      <c r="B87" s="52" t="s">
        <v>143</v>
      </c>
      <c r="E87" s="48"/>
      <c r="F87" s="47">
        <v>0</v>
      </c>
      <c r="J87" s="57"/>
    </row>
    <row r="88" spans="2:8" ht="14.25" hidden="1">
      <c r="B88" s="58"/>
      <c r="C88" s="58"/>
      <c r="D88" s="58"/>
      <c r="E88" s="78"/>
      <c r="F88" s="66"/>
      <c r="G88" s="58"/>
      <c r="H88" s="59"/>
    </row>
    <row r="89" spans="2:8" ht="14.25">
      <c r="B89" s="58"/>
      <c r="C89" s="58"/>
      <c r="D89" s="58"/>
      <c r="E89" s="78"/>
      <c r="F89" s="66"/>
      <c r="G89" s="58"/>
      <c r="H89" s="59"/>
    </row>
    <row r="90" spans="2:8" ht="15" thickBot="1">
      <c r="B90" s="148" t="s">
        <v>85</v>
      </c>
      <c r="C90" s="149"/>
      <c r="D90" s="149"/>
      <c r="E90" s="149"/>
      <c r="F90" s="150"/>
      <c r="G90" s="149"/>
      <c r="H90" s="151">
        <f>H52+H55+5</f>
        <v>12835999.460000006</v>
      </c>
    </row>
    <row r="91" ht="15" thickTop="1"/>
    <row r="1496" ht="14.25">
      <c r="C1496" s="38" t="s">
        <v>97</v>
      </c>
    </row>
    <row r="1729" ht="14.25">
      <c r="C1729" s="38" t="s">
        <v>97</v>
      </c>
    </row>
  </sheetData>
  <sheetProtection/>
  <mergeCells count="3">
    <mergeCell ref="B1:H1"/>
    <mergeCell ref="B2:H2"/>
    <mergeCell ref="B3:H3"/>
  </mergeCells>
  <printOptions/>
  <pageMargins left="1.08" right="0.25" top="0.51" bottom="0.23" header="0.17" footer="0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Electoral del Estado de Jalisco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José Manuel Barceló Moreno</dc:creator>
  <cp:keywords/>
  <dc:description/>
  <cp:lastModifiedBy>Adriana Molina Becerril</cp:lastModifiedBy>
  <cp:lastPrinted>2014-10-14T20:42:45Z</cp:lastPrinted>
  <dcterms:created xsi:type="dcterms:W3CDTF">2000-03-14T16:50:30Z</dcterms:created>
  <dcterms:modified xsi:type="dcterms:W3CDTF">2015-03-12T20:23:20Z</dcterms:modified>
  <cp:category/>
  <cp:version/>
  <cp:contentType/>
  <cp:contentStatus/>
</cp:coreProperties>
</file>