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8" yWindow="108" windowWidth="10080" windowHeight="9516" tabRatio="599" activeTab="2"/>
  </bookViews>
  <sheets>
    <sheet name="GASTO CORRIENTE " sheetId="1" r:id="rId1"/>
    <sheet name="RESULTADOS " sheetId="2" r:id="rId2"/>
    <sheet name="BALANCE " sheetId="3" r:id="rId3"/>
    <sheet name="ORIGEN Y APLIC. NUEVA MES" sheetId="4" r:id="rId4"/>
    <sheet name="ORIGEN Y APLIC. NUEVA ACUM" sheetId="5" r:id="rId5"/>
  </sheets>
  <definedNames>
    <definedName name="_xlnm.Print_Area" localSheetId="0">'GASTO CORRIENTE '!$T$1:$Z$87</definedName>
    <definedName name="_xlnm.Print_Area" localSheetId="4">'ORIGEN Y APLIC. NUEVA ACUM'!$A$1:$G$90</definedName>
  </definedNames>
  <calcPr fullCalcOnLoad="1"/>
</workbook>
</file>

<file path=xl/sharedStrings.xml><?xml version="1.0" encoding="utf-8"?>
<sst xmlns="http://schemas.openxmlformats.org/spreadsheetml/2006/main" count="815" uniqueCount="296">
  <si>
    <t>VARIACION</t>
  </si>
  <si>
    <t>PLAN</t>
  </si>
  <si>
    <t>Sueldos personal permanente</t>
  </si>
  <si>
    <t>Gratificados</t>
  </si>
  <si>
    <t>Aguinaldos</t>
  </si>
  <si>
    <t>Cuotas a pensiones</t>
  </si>
  <si>
    <t>Cuotas para la vivienda</t>
  </si>
  <si>
    <t>Cuotas para el seguro de vida del personal</t>
  </si>
  <si>
    <t>Ayuda para pasajes</t>
  </si>
  <si>
    <t>SERVICIOS PERSONALES</t>
  </si>
  <si>
    <t>Material de oficina</t>
  </si>
  <si>
    <t>Material de limpieza</t>
  </si>
  <si>
    <t>Alimentos para servidores públicos estatales</t>
  </si>
  <si>
    <t>Refacciones, accesorios y herramientas menores</t>
  </si>
  <si>
    <t>Combustibles</t>
  </si>
  <si>
    <t>MATERIALES Y SUMINISTROS</t>
  </si>
  <si>
    <t>Servicio de energía eléctrica</t>
  </si>
  <si>
    <t>Seguros</t>
  </si>
  <si>
    <t>Otros impuestos y derechos</t>
  </si>
  <si>
    <t>Servicio de telecomunicaciones</t>
  </si>
  <si>
    <t>Pasajes</t>
  </si>
  <si>
    <t>Viáticos</t>
  </si>
  <si>
    <t>SERVICIOS GENERALES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</si>
  <si>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</si>
  <si>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</si>
  <si>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</si>
  <si>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</si>
  <si>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</si>
  <si>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</si>
  <si>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</si>
  <si>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</si>
  <si>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</si>
  <si>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</si>
  <si>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</si>
  <si>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</si>
  <si>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</si>
  <si>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</si>
  <si>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</si>
  <si>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</si>
  <si>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</si>
  <si>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</si>
  <si>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</si>
  <si>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</si>
  <si>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</si>
  <si>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</si>
  <si>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</si>
  <si>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</si>
  <si>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</si>
  <si>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</si>
  <si>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</si>
  <si>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</si>
  <si>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</si>
  <si>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</si>
  <si>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</si>
  <si>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Servicio de agua potable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</si>
  <si>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</si>
  <si>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</si>
  <si>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</si>
  <si>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</si>
  <si>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</si>
  <si>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</si>
  <si>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</si>
  <si>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</si>
  <si>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</si>
  <si>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</si>
  <si>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</si>
  <si>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</si>
  <si>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</si>
  <si>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</si>
  <si>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</si>
  <si>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Cuotas sedar - 2%</t>
  </si>
  <si>
    <t>Material didáctico</t>
  </si>
  <si>
    <t>Utensilios para el servicio de comedor</t>
  </si>
  <si>
    <t>Material eléctrico</t>
  </si>
  <si>
    <t>Servicio telefónico</t>
  </si>
  <si>
    <t>Ayuda para despensa</t>
  </si>
  <si>
    <t>Fletes y maniobras</t>
  </si>
  <si>
    <t>Intereses, descuentos y otros servicios bancarios</t>
  </si>
  <si>
    <t>Cuotas al IMSS (Enfermedad y Maternidad)</t>
  </si>
  <si>
    <t>Servicios de lavandería, limpieza, higiene y fumigación</t>
  </si>
  <si>
    <t>Gastos de difusión, información y publicac. oficiales</t>
  </si>
  <si>
    <t>Impresiones de papelería oficial</t>
  </si>
  <si>
    <t>Congresos, convenciones y exposiciones</t>
  </si>
  <si>
    <t>Equipo de computación electrónico</t>
  </si>
  <si>
    <t>OCTUBRE</t>
  </si>
  <si>
    <t>NOVIEMBRE</t>
  </si>
  <si>
    <t>SUELDOS Y SALARIOS POR PAGAR</t>
  </si>
  <si>
    <t>Prima Vacacional y dominical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</si>
  <si>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</si>
  <si>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</si>
  <si>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</si>
  <si>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</si>
  <si>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</si>
  <si>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</si>
  <si>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</si>
  <si>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</si>
  <si>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</si>
  <si>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</si>
  <si>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</si>
  <si>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</si>
  <si>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>Mobiliario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</si>
  <si>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</si>
  <si>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</si>
  <si>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</si>
  <si>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</si>
  <si>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</si>
  <si>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</si>
  <si>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</si>
  <si>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</si>
  <si>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</si>
  <si>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</si>
  <si>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</si>
  <si>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</si>
  <si>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</si>
  <si>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</si>
  <si>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</si>
  <si>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</si>
  <si>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</si>
  <si>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</si>
  <si>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</si>
  <si>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</si>
  <si>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</si>
  <si>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</si>
  <si>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</si>
  <si>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PRESUPUESTO POR EJERCER</t>
  </si>
  <si>
    <t>Otros Productos</t>
  </si>
  <si>
    <t>BIENES MUEBLES E INMUEBLES</t>
  </si>
  <si>
    <t>REAL ACUMULADO A LA FECHA</t>
  </si>
  <si>
    <t>EVOLUCION DEL PRESUPUESTO</t>
  </si>
  <si>
    <t>Equipo de oficina</t>
  </si>
  <si>
    <t>Servicios Personales</t>
  </si>
  <si>
    <t>Erogaciones Extraordinarias</t>
  </si>
  <si>
    <t>Acreedores Diversos</t>
  </si>
  <si>
    <t>PRESUPUESTO</t>
  </si>
  <si>
    <t>Estimulo del dia del servidor publico</t>
  </si>
  <si>
    <t>Capacitacion especializada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</si>
  <si>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</si>
  <si>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</si>
  <si>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</si>
  <si>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</si>
  <si>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</si>
  <si>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</si>
  <si>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5301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</si>
  <si>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</si>
  <si>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</si>
  <si>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</si>
  <si>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</si>
  <si>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</si>
  <si>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</si>
  <si>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</si>
  <si>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</si>
  <si>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</si>
  <si>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</si>
  <si>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</si>
  <si>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</si>
  <si>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</si>
  <si>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</si>
  <si>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</si>
  <si>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</si>
  <si>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</si>
  <si>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</si>
  <si>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</si>
  <si>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</si>
  <si>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</si>
  <si>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</si>
  <si>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>1204</t>
  </si>
  <si>
    <t>Salarios Personal Eventual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</si>
  <si>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</si>
  <si>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</si>
  <si>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</si>
  <si>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</si>
  <si>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</si>
  <si>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</si>
  <si>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</si>
  <si>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</si>
  <si>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</si>
  <si>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</si>
  <si>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T O T A L </t>
  </si>
  <si>
    <t>2402</t>
  </si>
  <si>
    <t>Estructuras y Manufacturas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</si>
  <si>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</si>
  <si>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</si>
  <si>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</si>
  <si>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</si>
  <si>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</si>
  <si>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</si>
  <si>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</si>
  <si>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Servicios de Vigilancia</t>
  </si>
  <si>
    <t>VARIACION MENSUAL</t>
  </si>
  <si>
    <t>VARIACION ACUMULADA</t>
  </si>
  <si>
    <t>RESULTADO DE EJERCICIOS ANTERIORES</t>
  </si>
  <si>
    <t>3403</t>
  </si>
  <si>
    <t>SUMA GASTO CORRIENTE Y PART. POLITICOS</t>
  </si>
  <si>
    <t>INSTITUTO ELECTORAL Y DE PARTICIPACION CIUDADADANA DEL ESTADO DE JALISCO</t>
  </si>
  <si>
    <t>Arrendamientos Especiales</t>
  </si>
  <si>
    <t>Servicios de Asesoria</t>
  </si>
  <si>
    <t>INSTITUTO ELECTORAL Y DE PARTICIPACION CIUDADANA DEL ESTADO DE JALISCO</t>
  </si>
  <si>
    <t>3206</t>
  </si>
  <si>
    <t>3301</t>
  </si>
  <si>
    <t xml:space="preserve">  </t>
  </si>
  <si>
    <t>INTEGRACION</t>
  </si>
  <si>
    <t>INTEGRACION DEL PRESUPUESTO EJERCIDO DEL MES</t>
  </si>
  <si>
    <t>Mant. y conserv. de mob. y equipo de oficina</t>
  </si>
  <si>
    <t>Mant. y conserv. de equipo de cómputo</t>
  </si>
  <si>
    <t>Mant. y conserv. de maq. y equipo de transp.</t>
  </si>
  <si>
    <t>Mant. y conserv. de inm. e instalaciones fijas</t>
  </si>
  <si>
    <t>Arrend. de maquinaria y equipo</t>
  </si>
  <si>
    <t>Arrend. de edificios y locales</t>
  </si>
  <si>
    <t>Mat. de impresión y reproducción</t>
  </si>
  <si>
    <t>Mat. de impresión para procesamiento</t>
  </si>
  <si>
    <t>1501</t>
  </si>
  <si>
    <t>Fondo de Retiro</t>
  </si>
  <si>
    <t>3507</t>
  </si>
  <si>
    <t>Prerrogativas 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</si>
  <si>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</si>
  <si>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</si>
  <si>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</si>
  <si>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</si>
  <si>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</si>
  <si>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</si>
  <si>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</si>
  <si>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</si>
  <si>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</si>
  <si>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</si>
  <si>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>1502</t>
  </si>
  <si>
    <t>Estímulo al Personal</t>
  </si>
  <si>
    <t>1801</t>
  </si>
  <si>
    <t>Impacto al Salario</t>
  </si>
  <si>
    <t>3404</t>
  </si>
  <si>
    <t>3405</t>
  </si>
  <si>
    <t>3408</t>
  </si>
  <si>
    <t>Accs. Mater. Y Utiles de Eq. De Cómputo</t>
  </si>
  <si>
    <t>SUBSIDIO AL EMPLEO</t>
  </si>
  <si>
    <t>Subsidio al Empleo</t>
  </si>
  <si>
    <t>1307</t>
  </si>
  <si>
    <t>Compensación Extraordinaria</t>
  </si>
  <si>
    <t>1314</t>
  </si>
  <si>
    <t>Laudos, liquidaciones e Indemnizaciones</t>
  </si>
  <si>
    <t>2503</t>
  </si>
  <si>
    <t>2701</t>
  </si>
  <si>
    <t>Productos Farmaceúticos</t>
  </si>
  <si>
    <t>Vestuarios Uniformes Y blancos</t>
  </si>
  <si>
    <t>Laudos, Liquidaciones, Indemnizaciones</t>
  </si>
  <si>
    <t>Vestuarios, Uniformes y Blancos</t>
  </si>
  <si>
    <t>3205</t>
  </si>
  <si>
    <t>Arrendamiento de Vehículos</t>
  </si>
  <si>
    <t>3207</t>
  </si>
  <si>
    <t>Subrogaciones</t>
  </si>
  <si>
    <t>3303</t>
  </si>
  <si>
    <t>Estudios Diversos</t>
  </si>
  <si>
    <t>5103</t>
  </si>
  <si>
    <t>Equipo Educacional y Recreativo</t>
  </si>
  <si>
    <t>Vehículos y Equipo de Transporte</t>
  </si>
  <si>
    <t xml:space="preserve">Cuotas sedar </t>
  </si>
  <si>
    <t>Impacto al  Salario</t>
  </si>
  <si>
    <t>5204</t>
  </si>
  <si>
    <t>Equipo de Telefonía</t>
  </si>
  <si>
    <t>SUMA OTROS INGRESOS</t>
  </si>
  <si>
    <t>Pagos Anticipados</t>
  </si>
  <si>
    <t>2507</t>
  </si>
  <si>
    <t>Materiales y Suministro de Laboratorio</t>
  </si>
  <si>
    <t>503</t>
  </si>
  <si>
    <t>PRESUPUESTO ORIGINAL                    29 JUL 2011</t>
  </si>
  <si>
    <t xml:space="preserve">  AJUSTE                    31 ENE 2012</t>
  </si>
  <si>
    <t>PRESUPUESTO AJUSTADO                  31 ENE 2012</t>
  </si>
  <si>
    <t>ENERO DE 2012</t>
  </si>
  <si>
    <t>PASIVOS DEL EJERCICIO 2011 A EROGAR EN  2012</t>
  </si>
  <si>
    <t>EFECTIVO DISPONIBLE DEL EJERCICIO 2011</t>
  </si>
  <si>
    <t>FEBRERO DE 2012</t>
  </si>
  <si>
    <t>1504</t>
  </si>
  <si>
    <t>Servicios Médicos y Hospitalarios</t>
  </si>
  <si>
    <t>PRESUPUESTO AJUSTADO                   29 MZO 2012</t>
  </si>
  <si>
    <t>MARZO DE 2012</t>
  </si>
  <si>
    <t>3204</t>
  </si>
  <si>
    <t>Arrend. De Equipo de Computo</t>
  </si>
  <si>
    <t>ABRIL DE 2012</t>
  </si>
  <si>
    <t>ASIGNAC. PRESUP. - ACTIVOS -</t>
  </si>
  <si>
    <t>AJUSTE Y TRANSF          DE PARTIDAS                29 MZO 2012</t>
  </si>
  <si>
    <t>M A Y O   D E   2 0 1 2</t>
  </si>
  <si>
    <t>Adquisición de Bienes Muebles</t>
  </si>
  <si>
    <t>AMPLIACION AUTOMATICA</t>
  </si>
  <si>
    <t>PRESUPUESTO AJUSTADO                   29 AGT 2012</t>
  </si>
  <si>
    <t>PRESUPUESTO AJUSTADO                    29 AGT 2012</t>
  </si>
  <si>
    <t>PRESUPUESTO         POR EJERCER</t>
  </si>
  <si>
    <t xml:space="preserve">TRANSFERENCIA  (SALDO  2011 )        29 AGT 2012 </t>
  </si>
  <si>
    <t xml:space="preserve">TRANSFERENCIA                    ENTRE PARTIDAS                  29 AGT 2012 </t>
  </si>
  <si>
    <t>ESTADISTICO A  OCTUBRE  2012</t>
  </si>
  <si>
    <t>REAL ACUMULADO         A OCTUBRE</t>
  </si>
  <si>
    <t>PRESUPUESTO ACUMULADO        A OCTUBRE</t>
  </si>
  <si>
    <t>OCTUBRE    2 0 1 2</t>
  </si>
  <si>
    <t>ACUMULADO A OCTUBRE DE 2012</t>
  </si>
  <si>
    <t>O C T U B R E    2 0 1 2</t>
  </si>
  <si>
    <t>O C T U B R E   D E   2 0 1 2</t>
  </si>
  <si>
    <t>ASIGNACION PRESUP. - ACTIVOS -</t>
  </si>
  <si>
    <t xml:space="preserve"> OCTUBRE DE 2012</t>
  </si>
  <si>
    <t>DEL 1º ENERO AL 31 DE OCTUBRE DE 2012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</si>
</sst>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0.000%"/>
    <numFmt numFmtId="181" formatCode="#,##0.00_ ;\-#,##0.00\ "/>
    <numFmt numFmtId="182" formatCode="#,##0.0_ ;\-#,##0.0\ "/>
    <numFmt numFmtId="183" formatCode="_-[$$-80A]* #,##0_-;\-[$$-80A]* #,##0_-;_-[$$-80A]* &quot;-&quot;??_-;_-@_-"/>
    <numFmt numFmtId="184" formatCode="_-[$$-80A]* #,##0.00_-;\-[$$-80A]* #,##0.00_-;_-[$$-80A]* &quot;-&quot;??_-;_-@_-"/>
    <numFmt numFmtId="185" formatCode="_-[$$-80A]* #,##0.0_-;\-[$$-80A]* #,##0.0_-;_-[$$-80A]* &quot;-&quot;??_-;_-@_-"/>
    <numFmt numFmtId="186" formatCode="#,##0.0000000"/>
  </numFmts>
  <fonts count="50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1"/>
      <name val="Trebuchet MS"/>
      <family val="2"/>
    </font>
    <font>
      <b/>
      <sz val="18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7" fontId="6" fillId="33" borderId="12" xfId="0" applyNumberFormat="1" applyFont="1" applyFill="1" applyBorder="1" applyAlignment="1">
      <alignment/>
    </xf>
    <xf numFmtId="172" fontId="6" fillId="33" borderId="13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6" fillId="34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9" fontId="6" fillId="0" borderId="0" xfId="58" applyFont="1" applyBorder="1" applyAlignment="1" applyProtection="1">
      <alignment horizontal="center"/>
      <protection locked="0"/>
    </xf>
    <xf numFmtId="37" fontId="6" fillId="0" borderId="0" xfId="0" applyNumberFormat="1" applyFont="1" applyAlignment="1">
      <alignment/>
    </xf>
    <xf numFmtId="9" fontId="5" fillId="0" borderId="0" xfId="58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8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9" fontId="4" fillId="0" borderId="0" xfId="0" applyNumberFormat="1" applyFont="1" applyBorder="1" applyAlignment="1">
      <alignment/>
    </xf>
    <xf numFmtId="10" fontId="4" fillId="0" borderId="11" xfId="58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/>
    </xf>
    <xf numFmtId="37" fontId="4" fillId="34" borderId="0" xfId="0" applyNumberFormat="1" applyFont="1" applyFill="1" applyBorder="1" applyAlignment="1">
      <alignment/>
    </xf>
    <xf numFmtId="169" fontId="4" fillId="34" borderId="0" xfId="0" applyNumberFormat="1" applyFont="1" applyFill="1" applyBorder="1" applyAlignment="1">
      <alignment/>
    </xf>
    <xf numFmtId="10" fontId="4" fillId="34" borderId="11" xfId="58" applyNumberFormat="1" applyFont="1" applyFill="1" applyBorder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4" fillId="34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169" fontId="4" fillId="0" borderId="11" xfId="58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7" fontId="4" fillId="0" borderId="0" xfId="48" applyNumberFormat="1" applyFont="1" applyAlignment="1">
      <alignment/>
    </xf>
    <xf numFmtId="168" fontId="4" fillId="0" borderId="0" xfId="48" applyFont="1" applyAlignment="1">
      <alignment/>
    </xf>
    <xf numFmtId="9" fontId="4" fillId="0" borderId="0" xfId="58" applyFont="1" applyFill="1" applyAlignment="1">
      <alignment/>
    </xf>
    <xf numFmtId="0" fontId="7" fillId="0" borderId="0" xfId="0" applyFont="1" applyAlignment="1">
      <alignment/>
    </xf>
    <xf numFmtId="4" fontId="4" fillId="0" borderId="14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4" fontId="7" fillId="33" borderId="15" xfId="0" applyNumberFormat="1" applyFont="1" applyFill="1" applyBorder="1" applyAlignment="1">
      <alignment/>
    </xf>
    <xf numFmtId="37" fontId="7" fillId="33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34" borderId="15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172" fontId="6" fillId="33" borderId="1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72" fontId="6" fillId="34" borderId="12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4" fontId="6" fillId="33" borderId="16" xfId="0" applyNumberFormat="1" applyFont="1" applyFill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0" fontId="9" fillId="0" borderId="0" xfId="56" applyFont="1">
      <alignment/>
      <protection/>
    </xf>
    <xf numFmtId="43" fontId="9" fillId="0" borderId="0" xfId="52" applyFont="1" applyAlignment="1">
      <alignment/>
    </xf>
    <xf numFmtId="0" fontId="7" fillId="0" borderId="18" xfId="0" applyFont="1" applyFill="1" applyBorder="1" applyAlignment="1">
      <alignment/>
    </xf>
    <xf numFmtId="37" fontId="7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6" applyFont="1" applyFill="1">
      <alignment/>
      <protection/>
    </xf>
    <xf numFmtId="43" fontId="9" fillId="0" borderId="0" xfId="52" applyFont="1" applyFill="1" applyAlignment="1">
      <alignment/>
    </xf>
    <xf numFmtId="0" fontId="11" fillId="0" borderId="0" xfId="56" applyFont="1">
      <alignment/>
      <protection/>
    </xf>
    <xf numFmtId="173" fontId="7" fillId="0" borderId="0" xfId="52" applyNumberFormat="1" applyFont="1" applyAlignment="1">
      <alignment/>
    </xf>
    <xf numFmtId="173" fontId="9" fillId="0" borderId="0" xfId="52" applyNumberFormat="1" applyFont="1" applyAlignment="1">
      <alignment/>
    </xf>
    <xf numFmtId="37" fontId="7" fillId="0" borderId="0" xfId="56" applyNumberFormat="1" applyFont="1">
      <alignment/>
      <protection/>
    </xf>
    <xf numFmtId="37" fontId="9" fillId="0" borderId="0" xfId="56" applyNumberFormat="1" applyFont="1">
      <alignment/>
      <protection/>
    </xf>
    <xf numFmtId="0" fontId="7" fillId="0" borderId="0" xfId="56" applyFont="1">
      <alignment/>
      <protection/>
    </xf>
    <xf numFmtId="173" fontId="9" fillId="0" borderId="14" xfId="52" applyNumberFormat="1" applyFont="1" applyBorder="1" applyAlignment="1">
      <alignment/>
    </xf>
    <xf numFmtId="172" fontId="9" fillId="0" borderId="0" xfId="52" applyNumberFormat="1" applyFont="1" applyAlignment="1">
      <alignment/>
    </xf>
    <xf numFmtId="43" fontId="8" fillId="0" borderId="0" xfId="56" applyNumberFormat="1" applyFont="1">
      <alignment/>
      <protection/>
    </xf>
    <xf numFmtId="43" fontId="9" fillId="0" borderId="0" xfId="56" applyNumberFormat="1" applyFont="1">
      <alignment/>
      <protection/>
    </xf>
    <xf numFmtId="0" fontId="9" fillId="0" borderId="0" xfId="56" applyFont="1" applyAlignment="1">
      <alignment/>
      <protection/>
    </xf>
    <xf numFmtId="43" fontId="9" fillId="0" borderId="0" xfId="52" applyFont="1" applyAlignment="1">
      <alignment/>
    </xf>
    <xf numFmtId="0" fontId="7" fillId="0" borderId="18" xfId="0" applyFont="1" applyFill="1" applyBorder="1" applyAlignment="1">
      <alignment/>
    </xf>
    <xf numFmtId="37" fontId="7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2" applyNumberFormat="1" applyFont="1" applyAlignment="1">
      <alignment/>
    </xf>
    <xf numFmtId="0" fontId="9" fillId="0" borderId="0" xfId="56" applyFont="1" applyFill="1" applyAlignment="1">
      <alignment/>
      <protection/>
    </xf>
    <xf numFmtId="43" fontId="9" fillId="0" borderId="0" xfId="52" applyFont="1" applyFill="1" applyAlignment="1">
      <alignment/>
    </xf>
    <xf numFmtId="0" fontId="11" fillId="0" borderId="0" xfId="56" applyFont="1" applyAlignment="1">
      <alignment/>
      <protection/>
    </xf>
    <xf numFmtId="37" fontId="7" fillId="0" borderId="0" xfId="56" applyNumberFormat="1" applyFont="1" applyAlignment="1">
      <alignment/>
      <protection/>
    </xf>
    <xf numFmtId="37" fontId="9" fillId="0" borderId="0" xfId="56" applyNumberFormat="1" applyFont="1" applyAlignment="1">
      <alignment/>
      <protection/>
    </xf>
    <xf numFmtId="0" fontId="7" fillId="0" borderId="0" xfId="56" applyFont="1" applyAlignment="1">
      <alignment/>
      <protection/>
    </xf>
    <xf numFmtId="173" fontId="9" fillId="0" borderId="19" xfId="52" applyNumberFormat="1" applyFont="1" applyBorder="1" applyAlignment="1">
      <alignment/>
    </xf>
    <xf numFmtId="1" fontId="9" fillId="0" borderId="0" xfId="56" applyNumberFormat="1" applyFont="1" applyAlignment="1">
      <alignment/>
      <protection/>
    </xf>
    <xf numFmtId="1" fontId="9" fillId="0" borderId="19" xfId="56" applyNumberFormat="1" applyFont="1" applyBorder="1" applyAlignment="1">
      <alignment/>
      <protection/>
    </xf>
    <xf numFmtId="43" fontId="9" fillId="0" borderId="0" xfId="52" applyFont="1" applyBorder="1" applyAlignment="1">
      <alignment/>
    </xf>
    <xf numFmtId="1" fontId="9" fillId="0" borderId="0" xfId="56" applyNumberFormat="1" applyFont="1" applyBorder="1" applyAlignment="1">
      <alignment/>
      <protection/>
    </xf>
    <xf numFmtId="173" fontId="9" fillId="0" borderId="0" xfId="52" applyNumberFormat="1" applyFont="1" applyFill="1" applyAlignment="1">
      <alignment/>
    </xf>
    <xf numFmtId="176" fontId="9" fillId="0" borderId="0" xfId="52" applyNumberFormat="1" applyFont="1" applyFill="1" applyAlignment="1">
      <alignment/>
    </xf>
    <xf numFmtId="173" fontId="9" fillId="0" borderId="0" xfId="56" applyNumberFormat="1" applyFont="1">
      <alignment/>
      <protection/>
    </xf>
    <xf numFmtId="173" fontId="9" fillId="0" borderId="0" xfId="52" applyNumberFormat="1" applyFont="1" applyFill="1" applyAlignment="1">
      <alignment/>
    </xf>
    <xf numFmtId="172" fontId="9" fillId="0" borderId="0" xfId="52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37" fontId="4" fillId="34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7" fillId="33" borderId="12" xfId="0" applyNumberFormat="1" applyFont="1" applyFill="1" applyBorder="1" applyAlignment="1">
      <alignment horizontal="center" vertical="justify"/>
    </xf>
    <xf numFmtId="177" fontId="4" fillId="0" borderId="0" xfId="0" applyNumberFormat="1" applyFont="1" applyAlignment="1">
      <alignment/>
    </xf>
    <xf numFmtId="171" fontId="4" fillId="0" borderId="0" xfId="48" applyNumberFormat="1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16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58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2" fontId="9" fillId="0" borderId="0" xfId="52" applyNumberFormat="1" applyFont="1" applyAlignment="1">
      <alignment/>
    </xf>
    <xf numFmtId="176" fontId="7" fillId="0" borderId="0" xfId="52" applyNumberFormat="1" applyFont="1" applyFill="1" applyAlignment="1">
      <alignment/>
    </xf>
    <xf numFmtId="173" fontId="7" fillId="0" borderId="0" xfId="52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6" applyFont="1" applyAlignment="1">
      <alignment horizontal="center"/>
      <protection/>
    </xf>
    <xf numFmtId="171" fontId="9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3" fillId="0" borderId="0" xfId="52" applyNumberFormat="1" applyFont="1" applyAlignment="1">
      <alignment horizontal="center"/>
    </xf>
    <xf numFmtId="9" fontId="4" fillId="0" borderId="0" xfId="58" applyNumberFormat="1" applyFont="1" applyAlignment="1">
      <alignment horizontal="right"/>
    </xf>
    <xf numFmtId="169" fontId="4" fillId="0" borderId="11" xfId="58" applyNumberFormat="1" applyFont="1" applyFill="1" applyBorder="1" applyAlignment="1">
      <alignment horizontal="right"/>
    </xf>
    <xf numFmtId="169" fontId="4" fillId="34" borderId="11" xfId="58" applyNumberFormat="1" applyFont="1" applyFill="1" applyBorder="1" applyAlignment="1">
      <alignment horizontal="right"/>
    </xf>
    <xf numFmtId="9" fontId="5" fillId="0" borderId="11" xfId="58" applyFont="1" applyFill="1" applyBorder="1" applyAlignment="1" applyProtection="1">
      <alignment horizontal="right"/>
      <protection locked="0"/>
    </xf>
    <xf numFmtId="169" fontId="4" fillId="0" borderId="11" xfId="58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37" fontId="7" fillId="33" borderId="13" xfId="0" applyNumberFormat="1" applyFont="1" applyFill="1" applyBorder="1" applyAlignment="1">
      <alignment horizontal="centerContinuous" vertical="distributed"/>
    </xf>
    <xf numFmtId="164" fontId="4" fillId="0" borderId="11" xfId="0" applyNumberFormat="1" applyFont="1" applyBorder="1" applyAlignment="1">
      <alignment/>
    </xf>
    <xf numFmtId="164" fontId="6" fillId="34" borderId="13" xfId="0" applyNumberFormat="1" applyFont="1" applyFill="1" applyBorder="1" applyAlignment="1">
      <alignment/>
    </xf>
    <xf numFmtId="172" fontId="6" fillId="34" borderId="13" xfId="0" applyNumberFormat="1" applyFont="1" applyFill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164" fontId="6" fillId="33" borderId="2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 applyProtection="1">
      <alignment/>
      <protection locked="0"/>
    </xf>
    <xf numFmtId="174" fontId="4" fillId="0" borderId="0" xfId="0" applyNumberFormat="1" applyFont="1" applyBorder="1" applyAlignment="1">
      <alignment/>
    </xf>
    <xf numFmtId="174" fontId="4" fillId="34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 applyProtection="1">
      <alignment/>
      <protection/>
    </xf>
    <xf numFmtId="0" fontId="10" fillId="7" borderId="0" xfId="56" applyFont="1" applyFill="1">
      <alignment/>
      <protection/>
    </xf>
    <xf numFmtId="0" fontId="9" fillId="7" borderId="0" xfId="56" applyFont="1" applyFill="1">
      <alignment/>
      <protection/>
    </xf>
    <xf numFmtId="0" fontId="10" fillId="7" borderId="0" xfId="56" applyFont="1" applyFill="1" applyAlignment="1">
      <alignment/>
      <protection/>
    </xf>
    <xf numFmtId="0" fontId="9" fillId="7" borderId="0" xfId="56" applyFont="1" applyFill="1" applyAlignment="1">
      <alignment/>
      <protection/>
    </xf>
    <xf numFmtId="0" fontId="7" fillId="7" borderId="0" xfId="56" applyFont="1" applyFill="1" applyAlignment="1">
      <alignment/>
      <protection/>
    </xf>
    <xf numFmtId="10" fontId="4" fillId="0" borderId="0" xfId="0" applyNumberFormat="1" applyFont="1" applyBorder="1" applyAlignment="1">
      <alignment/>
    </xf>
    <xf numFmtId="10" fontId="4" fillId="34" borderId="0" xfId="0" applyNumberFormat="1" applyFont="1" applyFill="1" applyBorder="1" applyAlignment="1">
      <alignment/>
    </xf>
    <xf numFmtId="10" fontId="4" fillId="0" borderId="0" xfId="58" applyNumberFormat="1" applyFont="1" applyBorder="1" applyAlignment="1">
      <alignment/>
    </xf>
    <xf numFmtId="10" fontId="4" fillId="0" borderId="0" xfId="58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9" fillId="0" borderId="0" xfId="56" applyFont="1" applyAlignment="1">
      <alignment vertical="center"/>
      <protection/>
    </xf>
    <xf numFmtId="173" fontId="9" fillId="0" borderId="21" xfId="52" applyNumberFormat="1" applyFont="1" applyBorder="1" applyAlignment="1">
      <alignment/>
    </xf>
    <xf numFmtId="43" fontId="9" fillId="0" borderId="21" xfId="52" applyFont="1" applyBorder="1" applyAlignment="1">
      <alignment/>
    </xf>
    <xf numFmtId="43" fontId="9" fillId="0" borderId="21" xfId="52" applyFont="1" applyFill="1" applyBorder="1" applyAlignment="1">
      <alignment/>
    </xf>
    <xf numFmtId="173" fontId="7" fillId="0" borderId="21" xfId="52" applyNumberFormat="1" applyFont="1" applyBorder="1" applyAlignment="1">
      <alignment/>
    </xf>
    <xf numFmtId="37" fontId="7" fillId="0" borderId="21" xfId="56" applyNumberFormat="1" applyFont="1" applyBorder="1" applyAlignment="1">
      <alignment/>
      <protection/>
    </xf>
    <xf numFmtId="0" fontId="9" fillId="0" borderId="21" xfId="56" applyFont="1" applyBorder="1" applyAlignment="1">
      <alignment/>
      <protection/>
    </xf>
    <xf numFmtId="43" fontId="9" fillId="0" borderId="21" xfId="52" applyFont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37" fontId="6" fillId="35" borderId="12" xfId="0" applyNumberFormat="1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37" fontId="4" fillId="35" borderId="0" xfId="0" applyNumberFormat="1" applyFont="1" applyFill="1" applyBorder="1" applyAlignment="1">
      <alignment/>
    </xf>
    <xf numFmtId="176" fontId="4" fillId="35" borderId="11" xfId="0" applyNumberFormat="1" applyFont="1" applyFill="1" applyBorder="1" applyAlignment="1">
      <alignment/>
    </xf>
    <xf numFmtId="37" fontId="6" fillId="35" borderId="28" xfId="0" applyNumberFormat="1" applyFont="1" applyFill="1" applyBorder="1" applyAlignment="1">
      <alignment/>
    </xf>
    <xf numFmtId="176" fontId="6" fillId="35" borderId="29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7" fillId="35" borderId="30" xfId="0" applyFont="1" applyFill="1" applyBorder="1" applyAlignment="1">
      <alignment/>
    </xf>
    <xf numFmtId="176" fontId="6" fillId="35" borderId="13" xfId="0" applyNumberFormat="1" applyFont="1" applyFill="1" applyBorder="1" applyAlignment="1">
      <alignment/>
    </xf>
    <xf numFmtId="176" fontId="6" fillId="35" borderId="12" xfId="0" applyNumberFormat="1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" fontId="7" fillId="35" borderId="15" xfId="0" applyNumberFormat="1" applyFont="1" applyFill="1" applyBorder="1" applyAlignment="1">
      <alignment/>
    </xf>
    <xf numFmtId="37" fontId="7" fillId="35" borderId="12" xfId="0" applyNumberFormat="1" applyFont="1" applyFill="1" applyBorder="1" applyAlignment="1">
      <alignment horizontal="center" vertical="center"/>
    </xf>
    <xf numFmtId="37" fontId="7" fillId="35" borderId="12" xfId="0" applyNumberFormat="1" applyFont="1" applyFill="1" applyBorder="1" applyAlignment="1">
      <alignment horizontal="center" vertical="justify"/>
    </xf>
    <xf numFmtId="37" fontId="7" fillId="35" borderId="13" xfId="0" applyNumberFormat="1" applyFont="1" applyFill="1" applyBorder="1" applyAlignment="1">
      <alignment horizontal="centerContinuous" vertical="distributed"/>
    </xf>
    <xf numFmtId="4" fontId="6" fillId="35" borderId="15" xfId="0" applyNumberFormat="1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4" fontId="6" fillId="35" borderId="16" xfId="0" applyNumberFormat="1" applyFont="1" applyFill="1" applyBorder="1" applyAlignment="1">
      <alignment/>
    </xf>
    <xf numFmtId="37" fontId="6" fillId="35" borderId="17" xfId="0" applyNumberFormat="1" applyFont="1" applyFill="1" applyBorder="1" applyAlignment="1">
      <alignment/>
    </xf>
    <xf numFmtId="164" fontId="6" fillId="35" borderId="17" xfId="0" applyNumberFormat="1" applyFont="1" applyFill="1" applyBorder="1" applyAlignment="1">
      <alignment/>
    </xf>
    <xf numFmtId="164" fontId="6" fillId="35" borderId="20" xfId="0" applyNumberFormat="1" applyFont="1" applyFill="1" applyBorder="1" applyAlignment="1">
      <alignment/>
    </xf>
    <xf numFmtId="4" fontId="6" fillId="36" borderId="15" xfId="0" applyNumberFormat="1" applyFont="1" applyFill="1" applyBorder="1" applyAlignment="1">
      <alignment/>
    </xf>
    <xf numFmtId="37" fontId="6" fillId="36" borderId="12" xfId="0" applyNumberFormat="1" applyFont="1" applyFill="1" applyBorder="1" applyAlignment="1">
      <alignment/>
    </xf>
    <xf numFmtId="172" fontId="6" fillId="36" borderId="12" xfId="0" applyNumberFormat="1" applyFont="1" applyFill="1" applyBorder="1" applyAlignment="1">
      <alignment/>
    </xf>
    <xf numFmtId="172" fontId="6" fillId="36" borderId="13" xfId="0" applyNumberFormat="1" applyFont="1" applyFill="1" applyBorder="1" applyAlignment="1">
      <alignment/>
    </xf>
    <xf numFmtId="37" fontId="9" fillId="0" borderId="0" xfId="56" applyNumberFormat="1" applyFont="1" applyBorder="1">
      <alignment/>
      <protection/>
    </xf>
    <xf numFmtId="0" fontId="7" fillId="35" borderId="12" xfId="0" applyFont="1" applyFill="1" applyBorder="1" applyAlignment="1">
      <alignment/>
    </xf>
    <xf numFmtId="37" fontId="7" fillId="35" borderId="12" xfId="0" applyNumberFormat="1" applyFont="1" applyFill="1" applyBorder="1" applyAlignment="1">
      <alignment/>
    </xf>
    <xf numFmtId="173" fontId="8" fillId="35" borderId="12" xfId="56" applyNumberFormat="1" applyFont="1" applyFill="1" applyBorder="1">
      <alignment/>
      <protection/>
    </xf>
    <xf numFmtId="0" fontId="7" fillId="36" borderId="12" xfId="0" applyFont="1" applyFill="1" applyBorder="1" applyAlignment="1">
      <alignment/>
    </xf>
    <xf numFmtId="37" fontId="7" fillId="36" borderId="12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37" fontId="7" fillId="35" borderId="12" xfId="0" applyNumberFormat="1" applyFont="1" applyFill="1" applyBorder="1" applyAlignment="1">
      <alignment/>
    </xf>
    <xf numFmtId="176" fontId="7" fillId="35" borderId="31" xfId="0" applyNumberFormat="1" applyFont="1" applyFill="1" applyBorder="1" applyAlignment="1">
      <alignment/>
    </xf>
    <xf numFmtId="183" fontId="7" fillId="35" borderId="31" xfId="53" applyNumberFormat="1" applyFont="1" applyFill="1" applyBorder="1" applyAlignment="1">
      <alignment/>
    </xf>
    <xf numFmtId="0" fontId="7" fillId="36" borderId="0" xfId="56" applyFont="1" applyFill="1" applyAlignment="1">
      <alignment/>
      <protection/>
    </xf>
    <xf numFmtId="0" fontId="9" fillId="36" borderId="0" xfId="56" applyFont="1" applyFill="1" applyAlignment="1">
      <alignment/>
      <protection/>
    </xf>
    <xf numFmtId="43" fontId="9" fillId="36" borderId="0" xfId="52" applyFont="1" applyFill="1" applyAlignment="1">
      <alignment/>
    </xf>
    <xf numFmtId="0" fontId="7" fillId="36" borderId="12" xfId="0" applyFont="1" applyFill="1" applyBorder="1" applyAlignment="1">
      <alignment/>
    </xf>
    <xf numFmtId="37" fontId="7" fillId="36" borderId="12" xfId="0" applyNumberFormat="1" applyFont="1" applyFill="1" applyBorder="1" applyAlignment="1">
      <alignment/>
    </xf>
    <xf numFmtId="172" fontId="8" fillId="36" borderId="12" xfId="56" applyNumberFormat="1" applyFont="1" applyFill="1" applyBorder="1">
      <alignment/>
      <protection/>
    </xf>
    <xf numFmtId="183" fontId="8" fillId="35" borderId="12" xfId="53" applyNumberFormat="1" applyFont="1" applyFill="1" applyBorder="1" applyAlignment="1">
      <alignment/>
    </xf>
    <xf numFmtId="49" fontId="4" fillId="35" borderId="22" xfId="0" applyNumberFormat="1" applyFont="1" applyFill="1" applyBorder="1" applyAlignment="1">
      <alignment horizontal="center"/>
    </xf>
    <xf numFmtId="4" fontId="4" fillId="35" borderId="23" xfId="0" applyNumberFormat="1" applyFont="1" applyFill="1" applyBorder="1" applyAlignment="1">
      <alignment/>
    </xf>
    <xf numFmtId="37" fontId="4" fillId="35" borderId="23" xfId="0" applyNumberFormat="1" applyFont="1" applyFill="1" applyBorder="1" applyAlignment="1">
      <alignment/>
    </xf>
    <xf numFmtId="169" fontId="4" fillId="35" borderId="24" xfId="58" applyNumberFormat="1" applyFont="1" applyFill="1" applyBorder="1" applyAlignment="1">
      <alignment horizontal="right"/>
    </xf>
    <xf numFmtId="10" fontId="4" fillId="35" borderId="23" xfId="0" applyNumberFormat="1" applyFont="1" applyFill="1" applyBorder="1" applyAlignment="1">
      <alignment/>
    </xf>
    <xf numFmtId="10" fontId="4" fillId="35" borderId="24" xfId="58" applyNumberFormat="1" applyFont="1" applyFill="1" applyBorder="1" applyAlignment="1">
      <alignment/>
    </xf>
    <xf numFmtId="37" fontId="4" fillId="35" borderId="23" xfId="0" applyNumberFormat="1" applyFont="1" applyFill="1" applyBorder="1" applyAlignment="1" applyProtection="1">
      <alignment/>
      <protection locked="0"/>
    </xf>
    <xf numFmtId="164" fontId="4" fillId="35" borderId="23" xfId="0" applyNumberFormat="1" applyFont="1" applyFill="1" applyBorder="1" applyAlignment="1" applyProtection="1">
      <alignment/>
      <protection locked="0"/>
    </xf>
    <xf numFmtId="4" fontId="4" fillId="4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>
      <alignment/>
    </xf>
    <xf numFmtId="4" fontId="5" fillId="4" borderId="0" xfId="0" applyNumberFormat="1" applyFont="1" applyFill="1" applyBorder="1" applyAlignment="1" applyProtection="1">
      <alignment horizontal="center"/>
      <protection locked="0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9" fontId="14" fillId="4" borderId="20" xfId="58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15" fillId="4" borderId="17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/>
    </xf>
    <xf numFmtId="169" fontId="4" fillId="35" borderId="11" xfId="58" applyNumberFormat="1" applyFont="1" applyFill="1" applyBorder="1" applyAlignment="1">
      <alignment horizontal="right"/>
    </xf>
    <xf numFmtId="10" fontId="4" fillId="35" borderId="0" xfId="0" applyNumberFormat="1" applyFont="1" applyFill="1" applyBorder="1" applyAlignment="1">
      <alignment/>
    </xf>
    <xf numFmtId="10" fontId="4" fillId="35" borderId="11" xfId="58" applyNumberFormat="1" applyFont="1" applyFill="1" applyBorder="1" applyAlignment="1">
      <alignment/>
    </xf>
    <xf numFmtId="37" fontId="4" fillId="35" borderId="0" xfId="0" applyNumberFormat="1" applyFont="1" applyFill="1" applyBorder="1" applyAlignment="1" applyProtection="1">
      <alignment/>
      <protection locked="0"/>
    </xf>
    <xf numFmtId="164" fontId="4" fillId="35" borderId="0" xfId="0" applyNumberFormat="1" applyFont="1" applyFill="1" applyBorder="1" applyAlignment="1" applyProtection="1">
      <alignment/>
      <protection locked="0"/>
    </xf>
    <xf numFmtId="49" fontId="5" fillId="4" borderId="15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/>
    </xf>
    <xf numFmtId="37" fontId="5" fillId="4" borderId="12" xfId="0" applyNumberFormat="1" applyFont="1" applyFill="1" applyBorder="1" applyAlignment="1" applyProtection="1">
      <alignment/>
      <protection locked="0"/>
    </xf>
    <xf numFmtId="9" fontId="5" fillId="4" borderId="13" xfId="58" applyFont="1" applyFill="1" applyBorder="1" applyAlignment="1" applyProtection="1">
      <alignment horizontal="right"/>
      <protection locked="0"/>
    </xf>
    <xf numFmtId="169" fontId="5" fillId="4" borderId="12" xfId="0" applyNumberFormat="1" applyFont="1" applyFill="1" applyBorder="1" applyAlignment="1">
      <alignment/>
    </xf>
    <xf numFmtId="10" fontId="5" fillId="4" borderId="13" xfId="58" applyNumberFormat="1" applyFont="1" applyFill="1" applyBorder="1" applyAlignment="1">
      <alignment/>
    </xf>
    <xf numFmtId="172" fontId="6" fillId="4" borderId="12" xfId="0" applyNumberFormat="1" applyFont="1" applyFill="1" applyBorder="1" applyAlignment="1" applyProtection="1">
      <alignment/>
      <protection locked="0"/>
    </xf>
    <xf numFmtId="164" fontId="5" fillId="4" borderId="12" xfId="0" applyNumberFormat="1" applyFont="1" applyFill="1" applyBorder="1" applyAlignment="1" applyProtection="1">
      <alignment/>
      <protection/>
    </xf>
    <xf numFmtId="4" fontId="5" fillId="4" borderId="12" xfId="0" applyNumberFormat="1" applyFont="1" applyFill="1" applyBorder="1" applyAlignment="1">
      <alignment horizontal="center"/>
    </xf>
    <xf numFmtId="4" fontId="15" fillId="4" borderId="1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35" borderId="0" xfId="0" applyNumberFormat="1" applyFont="1" applyFill="1" applyBorder="1" applyAlignment="1">
      <alignment/>
    </xf>
    <xf numFmtId="172" fontId="5" fillId="4" borderId="12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>
      <alignment horizontal="center"/>
    </xf>
    <xf numFmtId="164" fontId="6" fillId="35" borderId="12" xfId="0" applyNumberFormat="1" applyFont="1" applyFill="1" applyBorder="1" applyAlignment="1">
      <alignment/>
    </xf>
    <xf numFmtId="174" fontId="9" fillId="0" borderId="19" xfId="52" applyNumberFormat="1" applyFont="1" applyBorder="1" applyAlignment="1">
      <alignment/>
    </xf>
    <xf numFmtId="37" fontId="9" fillId="0" borderId="14" xfId="56" applyNumberFormat="1" applyFont="1" applyBorder="1" applyAlignment="1">
      <alignment/>
      <protection/>
    </xf>
    <xf numFmtId="0" fontId="12" fillId="4" borderId="0" xfId="0" applyFont="1" applyFill="1" applyBorder="1" applyAlignment="1">
      <alignment horizontal="center"/>
    </xf>
    <xf numFmtId="4" fontId="6" fillId="4" borderId="32" xfId="0" applyNumberFormat="1" applyFont="1" applyFill="1" applyBorder="1" applyAlignment="1" applyProtection="1">
      <alignment horizontal="center" vertical="center"/>
      <protection locked="0"/>
    </xf>
    <xf numFmtId="174" fontId="5" fillId="4" borderId="12" xfId="0" applyNumberFormat="1" applyFont="1" applyFill="1" applyBorder="1" applyAlignment="1" applyProtection="1">
      <alignment/>
      <protection locked="0"/>
    </xf>
    <xf numFmtId="174" fontId="7" fillId="35" borderId="31" xfId="53" applyNumberFormat="1" applyFont="1" applyFill="1" applyBorder="1" applyAlignment="1">
      <alignment/>
    </xf>
    <xf numFmtId="4" fontId="6" fillId="4" borderId="0" xfId="0" applyNumberFormat="1" applyFont="1" applyFill="1" applyBorder="1" applyAlignment="1" applyProtection="1">
      <alignment horizontal="center"/>
      <protection locked="0"/>
    </xf>
    <xf numFmtId="49" fontId="6" fillId="4" borderId="0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>
      <alignment horizontal="center" vertical="center" wrapText="1"/>
    </xf>
    <xf numFmtId="174" fontId="4" fillId="35" borderId="23" xfId="0" applyNumberFormat="1" applyFont="1" applyFill="1" applyBorder="1" applyAlignment="1" applyProtection="1">
      <alignment/>
      <protection locked="0"/>
    </xf>
    <xf numFmtId="174" fontId="4" fillId="35" borderId="24" xfId="0" applyNumberFormat="1" applyFont="1" applyFill="1" applyBorder="1" applyAlignment="1" applyProtection="1">
      <alignment/>
      <protection locked="0"/>
    </xf>
    <xf numFmtId="174" fontId="4" fillId="0" borderId="11" xfId="0" applyNumberFormat="1" applyFont="1" applyFill="1" applyBorder="1" applyAlignment="1" applyProtection="1">
      <alignment/>
      <protection locked="0"/>
    </xf>
    <xf numFmtId="174" fontId="4" fillId="35" borderId="0" xfId="0" applyNumberFormat="1" applyFont="1" applyFill="1" applyBorder="1" applyAlignment="1" applyProtection="1">
      <alignment/>
      <protection locked="0"/>
    </xf>
    <xf numFmtId="174" fontId="4" fillId="35" borderId="11" xfId="0" applyNumberFormat="1" applyFont="1" applyFill="1" applyBorder="1" applyAlignment="1" applyProtection="1">
      <alignment/>
      <protection locked="0"/>
    </xf>
    <xf numFmtId="174" fontId="12" fillId="4" borderId="12" xfId="0" applyNumberFormat="1" applyFont="1" applyFill="1" applyBorder="1" applyAlignment="1" applyProtection="1">
      <alignment/>
      <protection locked="0"/>
    </xf>
    <xf numFmtId="174" fontId="5" fillId="4" borderId="13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/>
      <protection locked="0"/>
    </xf>
    <xf numFmtId="174" fontId="5" fillId="0" borderId="11" xfId="0" applyNumberFormat="1" applyFont="1" applyFill="1" applyBorder="1" applyAlignment="1" applyProtection="1">
      <alignment/>
      <protection locked="0"/>
    </xf>
    <xf numFmtId="174" fontId="4" fillId="0" borderId="11" xfId="0" applyNumberFormat="1" applyFont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/>
      <protection/>
    </xf>
    <xf numFmtId="174" fontId="4" fillId="34" borderId="11" xfId="0" applyNumberFormat="1" applyFont="1" applyFill="1" applyBorder="1" applyAlignment="1" applyProtection="1">
      <alignment/>
      <protection/>
    </xf>
    <xf numFmtId="168" fontId="9" fillId="0" borderId="0" xfId="48" applyFont="1" applyAlignment="1">
      <alignment horizontal="right"/>
    </xf>
    <xf numFmtId="168" fontId="9" fillId="37" borderId="0" xfId="48" applyFont="1" applyFill="1" applyAlignment="1">
      <alignment horizontal="right"/>
    </xf>
    <xf numFmtId="4" fontId="12" fillId="4" borderId="10" xfId="0" applyNumberFormat="1" applyFont="1" applyFill="1" applyBorder="1" applyAlignment="1" applyProtection="1">
      <alignment horizontal="center"/>
      <protection locked="0"/>
    </xf>
    <xf numFmtId="4" fontId="12" fillId="4" borderId="0" xfId="0" applyNumberFormat="1" applyFont="1" applyFill="1" applyBorder="1" applyAlignment="1" applyProtection="1">
      <alignment horizontal="center"/>
      <protection locked="0"/>
    </xf>
    <xf numFmtId="4" fontId="12" fillId="4" borderId="11" xfId="0" applyNumberFormat="1" applyFont="1" applyFill="1" applyBorder="1" applyAlignment="1" applyProtection="1">
      <alignment horizontal="center"/>
      <protection locked="0"/>
    </xf>
    <xf numFmtId="0" fontId="12" fillId="4" borderId="3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49" fontId="6" fillId="4" borderId="34" xfId="0" applyNumberFormat="1" applyFont="1" applyFill="1" applyBorder="1" applyAlignment="1" applyProtection="1">
      <alignment horizontal="center"/>
      <protection locked="0"/>
    </xf>
    <xf numFmtId="49" fontId="6" fillId="4" borderId="19" xfId="0" applyNumberFormat="1" applyFont="1" applyFill="1" applyBorder="1" applyAlignment="1" applyProtection="1">
      <alignment horizontal="center"/>
      <protection locked="0"/>
    </xf>
    <xf numFmtId="49" fontId="6" fillId="4" borderId="35" xfId="0" applyNumberFormat="1" applyFont="1" applyFill="1" applyBorder="1" applyAlignment="1" applyProtection="1">
      <alignment horizontal="center"/>
      <protection locked="0"/>
    </xf>
    <xf numFmtId="37" fontId="8" fillId="33" borderId="36" xfId="0" applyNumberFormat="1" applyFont="1" applyFill="1" applyBorder="1" applyAlignment="1">
      <alignment horizontal="center"/>
    </xf>
    <xf numFmtId="37" fontId="8" fillId="33" borderId="37" xfId="0" applyNumberFormat="1" applyFont="1" applyFill="1" applyBorder="1" applyAlignment="1">
      <alignment horizontal="center"/>
    </xf>
    <xf numFmtId="4" fontId="7" fillId="4" borderId="25" xfId="0" applyNumberFormat="1" applyFont="1" applyFill="1" applyBorder="1" applyAlignment="1">
      <alignment horizontal="center" vertical="center" wrapText="1"/>
    </xf>
    <xf numFmtId="4" fontId="7" fillId="4" borderId="27" xfId="0" applyNumberFormat="1" applyFont="1" applyFill="1" applyBorder="1" applyAlignment="1">
      <alignment horizontal="center" vertical="center" wrapText="1"/>
    </xf>
    <xf numFmtId="49" fontId="5" fillId="4" borderId="25" xfId="0" applyNumberFormat="1" applyFont="1" applyFill="1" applyBorder="1" applyAlignment="1" applyProtection="1">
      <alignment horizontal="center"/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49" fontId="5" fillId="4" borderId="27" xfId="0" applyNumberFormat="1" applyFont="1" applyFill="1" applyBorder="1" applyAlignment="1" applyProtection="1">
      <alignment horizontal="center"/>
      <protection locked="0"/>
    </xf>
    <xf numFmtId="4" fontId="6" fillId="4" borderId="36" xfId="0" applyNumberFormat="1" applyFont="1" applyFill="1" applyBorder="1" applyAlignment="1" applyProtection="1">
      <alignment horizontal="center" vertical="center"/>
      <protection locked="0"/>
    </xf>
    <xf numFmtId="4" fontId="6" fillId="4" borderId="32" xfId="0" applyNumberFormat="1" applyFont="1" applyFill="1" applyBorder="1" applyAlignment="1" applyProtection="1">
      <alignment horizontal="center" vertical="center"/>
      <protection locked="0"/>
    </xf>
    <xf numFmtId="49" fontId="5" fillId="4" borderId="16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4" fontId="5" fillId="4" borderId="36" xfId="0" applyNumberFormat="1" applyFont="1" applyFill="1" applyBorder="1" applyAlignment="1" applyProtection="1">
      <alignment horizontal="center"/>
      <protection locked="0"/>
    </xf>
    <xf numFmtId="4" fontId="5" fillId="4" borderId="32" xfId="0" applyNumberFormat="1" applyFont="1" applyFill="1" applyBorder="1" applyAlignment="1" applyProtection="1">
      <alignment horizontal="center"/>
      <protection locked="0"/>
    </xf>
    <xf numFmtId="4" fontId="5" fillId="4" borderId="37" xfId="0" applyNumberFormat="1" applyFont="1" applyFill="1" applyBorder="1" applyAlignment="1" applyProtection="1">
      <alignment horizontal="center"/>
      <protection locked="0"/>
    </xf>
    <xf numFmtId="4" fontId="12" fillId="4" borderId="33" xfId="0" applyNumberFormat="1" applyFont="1" applyFill="1" applyBorder="1" applyAlignment="1" applyProtection="1">
      <alignment horizontal="center"/>
      <protection locked="0"/>
    </xf>
    <xf numFmtId="4" fontId="12" fillId="4" borderId="21" xfId="0" applyNumberFormat="1" applyFont="1" applyFill="1" applyBorder="1" applyAlignment="1" applyProtection="1">
      <alignment horizontal="center"/>
      <protection locked="0"/>
    </xf>
    <xf numFmtId="49" fontId="5" fillId="4" borderId="34" xfId="0" applyNumberFormat="1" applyFont="1" applyFill="1" applyBorder="1" applyAlignment="1" applyProtection="1">
      <alignment horizontal="center"/>
      <protection locked="0"/>
    </xf>
    <xf numFmtId="49" fontId="5" fillId="4" borderId="19" xfId="0" applyNumberFormat="1" applyFont="1" applyFill="1" applyBorder="1" applyAlignment="1" applyProtection="1">
      <alignment horizontal="center"/>
      <protection locked="0"/>
    </xf>
    <xf numFmtId="49" fontId="5" fillId="4" borderId="35" xfId="0" applyNumberFormat="1" applyFont="1" applyFill="1" applyBorder="1" applyAlignment="1" applyProtection="1">
      <alignment horizontal="center"/>
      <protection locked="0"/>
    </xf>
    <xf numFmtId="4" fontId="6" fillId="4" borderId="36" xfId="0" applyNumberFormat="1" applyFont="1" applyFill="1" applyBorder="1" applyAlignment="1" applyProtection="1">
      <alignment horizontal="center"/>
      <protection locked="0"/>
    </xf>
    <xf numFmtId="4" fontId="6" fillId="4" borderId="32" xfId="0" applyNumberFormat="1" applyFont="1" applyFill="1" applyBorder="1" applyAlignment="1" applyProtection="1">
      <alignment horizontal="center"/>
      <protection locked="0"/>
    </xf>
    <xf numFmtId="4" fontId="6" fillId="4" borderId="37" xfId="0" applyNumberFormat="1" applyFont="1" applyFill="1" applyBorder="1" applyAlignment="1" applyProtection="1">
      <alignment horizontal="center"/>
      <protection locked="0"/>
    </xf>
    <xf numFmtId="4" fontId="12" fillId="4" borderId="22" xfId="0" applyNumberFormat="1" applyFont="1" applyFill="1" applyBorder="1" applyAlignment="1" applyProtection="1">
      <alignment horizontal="center"/>
      <protection locked="0"/>
    </xf>
    <xf numFmtId="4" fontId="12" fillId="4" borderId="23" xfId="0" applyNumberFormat="1" applyFont="1" applyFill="1" applyBorder="1" applyAlignment="1" applyProtection="1">
      <alignment horizontal="center"/>
      <protection locked="0"/>
    </xf>
    <xf numFmtId="4" fontId="12" fillId="4" borderId="24" xfId="0" applyNumberFormat="1" applyFont="1" applyFill="1" applyBorder="1" applyAlignment="1" applyProtection="1">
      <alignment horizontal="center"/>
      <protection locked="0"/>
    </xf>
    <xf numFmtId="0" fontId="5" fillId="35" borderId="3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41" xfId="0" applyFont="1" applyFill="1" applyBorder="1" applyAlignment="1">
      <alignment horizontal="center"/>
    </xf>
    <xf numFmtId="49" fontId="6" fillId="35" borderId="4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4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4" fontId="6" fillId="35" borderId="36" xfId="0" applyNumberFormat="1" applyFont="1" applyFill="1" applyBorder="1" applyAlignment="1">
      <alignment horizontal="center"/>
    </xf>
    <xf numFmtId="4" fontId="6" fillId="35" borderId="32" xfId="0" applyNumberFormat="1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center"/>
    </xf>
    <xf numFmtId="4" fontId="6" fillId="35" borderId="33" xfId="0" applyNumberFormat="1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 horizontal="center"/>
    </xf>
    <xf numFmtId="4" fontId="6" fillId="35" borderId="21" xfId="0" applyNumberFormat="1" applyFont="1" applyFill="1" applyBorder="1" applyAlignment="1">
      <alignment horizontal="center"/>
    </xf>
    <xf numFmtId="4" fontId="6" fillId="35" borderId="34" xfId="0" applyNumberFormat="1" applyFont="1" applyFill="1" applyBorder="1" applyAlignment="1">
      <alignment horizontal="center"/>
    </xf>
    <xf numFmtId="4" fontId="6" fillId="35" borderId="19" xfId="0" applyNumberFormat="1" applyFont="1" applyFill="1" applyBorder="1" applyAlignment="1">
      <alignment horizontal="center"/>
    </xf>
    <xf numFmtId="4" fontId="6" fillId="35" borderId="35" xfId="0" applyNumberFormat="1" applyFont="1" applyFill="1" applyBorder="1" applyAlignment="1">
      <alignment horizontal="center"/>
    </xf>
    <xf numFmtId="4" fontId="6" fillId="34" borderId="36" xfId="0" applyNumberFormat="1" applyFont="1" applyFill="1" applyBorder="1" applyAlignment="1">
      <alignment horizontal="center"/>
    </xf>
    <xf numFmtId="4" fontId="6" fillId="34" borderId="32" xfId="0" applyNumberFormat="1" applyFont="1" applyFill="1" applyBorder="1" applyAlignment="1">
      <alignment horizontal="center"/>
    </xf>
    <xf numFmtId="4" fontId="6" fillId="34" borderId="37" xfId="0" applyNumberFormat="1" applyFont="1" applyFill="1" applyBorder="1" applyAlignment="1">
      <alignment horizontal="center"/>
    </xf>
    <xf numFmtId="4" fontId="6" fillId="34" borderId="33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/>
    </xf>
    <xf numFmtId="4" fontId="6" fillId="34" borderId="34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 horizontal="center"/>
    </xf>
    <xf numFmtId="4" fontId="6" fillId="34" borderId="35" xfId="0" applyNumberFormat="1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left"/>
    </xf>
    <xf numFmtId="0" fontId="5" fillId="35" borderId="36" xfId="0" applyFont="1" applyFill="1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_INFORME EDOS. FINANCIEROS 2004" xfId="52"/>
    <cellStyle name="Currency" xfId="53"/>
    <cellStyle name="Currency [0]" xfId="54"/>
    <cellStyle name="Neutral" xfId="55"/>
    <cellStyle name="Normal_INFORME EDOS. FINANCIEROS 20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P146"/>
  <sheetViews>
    <sheetView zoomScale="75" zoomScaleNormal="75" zoomScalePageLayoutView="0" workbookViewId="0" topLeftCell="Z1">
      <selection activeCell="Z7" sqref="Z7"/>
    </sheetView>
  </sheetViews>
  <sheetFormatPr defaultColWidth="11.00390625" defaultRowHeight="15.75"/>
  <cols>
    <col min="1" max="1" width="10.625" style="2" customWidth="1"/>
    <col min="2" max="2" width="42.00390625" style="2" customWidth="1"/>
    <col min="3" max="3" width="15.50390625" style="2" customWidth="1"/>
    <col min="4" max="4" width="16.125" style="2" customWidth="1"/>
    <col min="5" max="5" width="16.50390625" style="2" customWidth="1"/>
    <col min="6" max="6" width="16.625" style="2" customWidth="1"/>
    <col min="7" max="7" width="16.375" style="2" customWidth="1"/>
    <col min="8" max="8" width="16.00390625" style="2" customWidth="1"/>
    <col min="9" max="9" width="14.50390625" style="2" customWidth="1"/>
    <col min="10" max="10" width="16.25390625" style="2" customWidth="1"/>
    <col min="11" max="11" width="16.875" style="2" customWidth="1"/>
    <col min="12" max="12" width="18.75390625" style="2" customWidth="1"/>
    <col min="13" max="13" width="13.50390625" style="2" hidden="1" customWidth="1"/>
    <col min="14" max="14" width="17.875" style="2" hidden="1" customWidth="1"/>
    <col min="15" max="15" width="18.625" style="2" customWidth="1"/>
    <col min="16" max="16" width="18.875" style="2" customWidth="1"/>
    <col min="17" max="17" width="18.25390625" style="2" customWidth="1"/>
    <col min="18" max="18" width="9.50390625" style="148" customWidth="1"/>
    <col min="19" max="19" width="11.00390625" style="26" customWidth="1"/>
    <col min="20" max="20" width="13.375" style="2" customWidth="1"/>
    <col min="21" max="21" width="58.375" style="2" customWidth="1"/>
    <col min="22" max="22" width="22.00390625" style="58" customWidth="1"/>
    <col min="23" max="23" width="14.75390625" style="2" customWidth="1"/>
    <col min="24" max="24" width="18.875" style="2" customWidth="1"/>
    <col min="25" max="25" width="24.375" style="2" customWidth="1"/>
    <col min="26" max="26" width="18.875" style="33" customWidth="1"/>
    <col min="27" max="27" width="11.00390625" style="22" customWidth="1"/>
    <col min="28" max="28" width="9.75390625" style="2" customWidth="1"/>
    <col min="29" max="29" width="47.875" style="2" customWidth="1"/>
    <col min="30" max="30" width="19.625" style="2" customWidth="1"/>
    <col min="31" max="31" width="18.125" style="2" customWidth="1"/>
    <col min="32" max="32" width="17.00390625" style="2" customWidth="1"/>
    <col min="33" max="33" width="17.125" style="2" hidden="1" customWidth="1"/>
    <col min="34" max="34" width="20.125" style="2" customWidth="1"/>
    <col min="35" max="35" width="16.875" style="2" hidden="1" customWidth="1"/>
    <col min="36" max="36" width="16.875" style="2" customWidth="1"/>
    <col min="37" max="37" width="19.25390625" style="2" customWidth="1"/>
    <col min="38" max="38" width="20.50390625" style="2" customWidth="1"/>
    <col min="39" max="39" width="21.50390625" style="25" customWidth="1"/>
    <col min="40" max="40" width="21.50390625" style="33" customWidth="1"/>
    <col min="41" max="41" width="11.75390625" style="22" bestFit="1" customWidth="1"/>
    <col min="42" max="42" width="14.50390625" style="22" bestFit="1" customWidth="1"/>
    <col min="43" max="16384" width="11.00390625" style="22" customWidth="1"/>
  </cols>
  <sheetData>
    <row r="1" spans="1:40" ht="21" customHeight="1" thickTop="1">
      <c r="A1" s="330" t="s">
        <v>193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2"/>
      <c r="T1" s="341" t="s">
        <v>193</v>
      </c>
      <c r="U1" s="342"/>
      <c r="V1" s="342"/>
      <c r="W1" s="342"/>
      <c r="X1" s="342"/>
      <c r="Y1" s="342"/>
      <c r="Z1" s="343"/>
      <c r="AB1" s="338" t="s">
        <v>193</v>
      </c>
      <c r="AC1" s="339"/>
      <c r="AD1" s="339"/>
      <c r="AE1" s="339"/>
      <c r="AF1" s="339"/>
      <c r="AG1" s="339"/>
      <c r="AH1" s="339"/>
      <c r="AI1" s="340"/>
      <c r="AJ1" s="287"/>
      <c r="AK1" s="287"/>
      <c r="AL1" s="287"/>
      <c r="AN1" s="27"/>
    </row>
    <row r="2" spans="1:40" ht="18" customHeight="1">
      <c r="A2" s="333" t="s">
        <v>136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34"/>
      <c r="T2" s="310" t="s">
        <v>201</v>
      </c>
      <c r="U2" s="311"/>
      <c r="V2" s="311"/>
      <c r="W2" s="311"/>
      <c r="X2" s="311"/>
      <c r="Y2" s="311"/>
      <c r="Z2" s="312"/>
      <c r="AB2" s="313" t="s">
        <v>128</v>
      </c>
      <c r="AC2" s="314"/>
      <c r="AD2" s="314"/>
      <c r="AE2" s="314"/>
      <c r="AF2" s="314"/>
      <c r="AG2" s="314"/>
      <c r="AH2" s="314"/>
      <c r="AI2" s="315"/>
      <c r="AJ2" s="283"/>
      <c r="AK2" s="283"/>
      <c r="AL2" s="283"/>
      <c r="AN2" s="27"/>
    </row>
    <row r="3" spans="1:40" ht="21" customHeight="1" thickBot="1">
      <c r="A3" s="335" t="s">
        <v>286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T3" s="323" t="s">
        <v>289</v>
      </c>
      <c r="U3" s="324"/>
      <c r="V3" s="324"/>
      <c r="W3" s="324"/>
      <c r="X3" s="324"/>
      <c r="Y3" s="324"/>
      <c r="Z3" s="325"/>
      <c r="AB3" s="316" t="s">
        <v>290</v>
      </c>
      <c r="AC3" s="317"/>
      <c r="AD3" s="317"/>
      <c r="AE3" s="317"/>
      <c r="AF3" s="317"/>
      <c r="AG3" s="317"/>
      <c r="AH3" s="317"/>
      <c r="AI3" s="318"/>
      <c r="AJ3" s="288"/>
      <c r="AK3" s="288"/>
      <c r="AL3" s="288"/>
      <c r="AM3" s="28" t="s">
        <v>137</v>
      </c>
      <c r="AN3" s="29"/>
    </row>
    <row r="4" spans="1:40" ht="18.75" customHeight="1" hidden="1" thickBot="1" thickTop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S4" s="30"/>
      <c r="T4" s="247"/>
      <c r="U4" s="247"/>
      <c r="V4" s="248"/>
      <c r="W4" s="249"/>
      <c r="X4" s="250"/>
      <c r="Y4" s="321" t="s">
        <v>0</v>
      </c>
      <c r="Z4" s="322"/>
      <c r="AA4" s="26"/>
      <c r="AB4" s="247"/>
      <c r="AC4" s="247"/>
      <c r="AD4" s="326" t="s">
        <v>128</v>
      </c>
      <c r="AE4" s="327"/>
      <c r="AF4" s="327"/>
      <c r="AG4" s="327"/>
      <c r="AH4" s="327"/>
      <c r="AI4" s="327"/>
      <c r="AJ4" s="284"/>
      <c r="AK4" s="284"/>
      <c r="AL4" s="284"/>
      <c r="AM4" s="319" t="s">
        <v>124</v>
      </c>
      <c r="AN4" s="320"/>
    </row>
    <row r="5" spans="1:40" ht="45" customHeight="1" thickBot="1" thickTop="1">
      <c r="A5" s="256" t="s">
        <v>46</v>
      </c>
      <c r="B5" s="252" t="s">
        <v>24</v>
      </c>
      <c r="C5" s="252" t="s">
        <v>28</v>
      </c>
      <c r="D5" s="252" t="s">
        <v>44</v>
      </c>
      <c r="E5" s="252" t="s">
        <v>45</v>
      </c>
      <c r="F5" s="252" t="s">
        <v>49</v>
      </c>
      <c r="G5" s="252" t="s">
        <v>50</v>
      </c>
      <c r="H5" s="252" t="s">
        <v>52</v>
      </c>
      <c r="I5" s="252" t="s">
        <v>53</v>
      </c>
      <c r="J5" s="252" t="s">
        <v>64</v>
      </c>
      <c r="K5" s="252" t="s">
        <v>69</v>
      </c>
      <c r="L5" s="252" t="s">
        <v>84</v>
      </c>
      <c r="M5" s="257" t="s">
        <v>85</v>
      </c>
      <c r="N5" s="257" t="s">
        <v>29</v>
      </c>
      <c r="O5" s="252" t="s">
        <v>287</v>
      </c>
      <c r="P5" s="252" t="s">
        <v>288</v>
      </c>
      <c r="Q5" s="257" t="s">
        <v>0</v>
      </c>
      <c r="R5" s="254" t="s">
        <v>172</v>
      </c>
      <c r="S5" s="32"/>
      <c r="T5" s="251" t="s">
        <v>46</v>
      </c>
      <c r="U5" s="252" t="s">
        <v>24</v>
      </c>
      <c r="V5" s="253" t="s">
        <v>89</v>
      </c>
      <c r="W5" s="252" t="s">
        <v>200</v>
      </c>
      <c r="X5" s="252" t="s">
        <v>133</v>
      </c>
      <c r="Y5" s="252" t="s">
        <v>88</v>
      </c>
      <c r="Z5" s="254" t="s">
        <v>172</v>
      </c>
      <c r="AB5" s="275" t="s">
        <v>46</v>
      </c>
      <c r="AC5" s="252" t="s">
        <v>24</v>
      </c>
      <c r="AD5" s="252" t="s">
        <v>127</v>
      </c>
      <c r="AE5" s="257" t="s">
        <v>262</v>
      </c>
      <c r="AF5" s="252" t="s">
        <v>263</v>
      </c>
      <c r="AG5" s="257" t="s">
        <v>264</v>
      </c>
      <c r="AH5" s="258" t="s">
        <v>277</v>
      </c>
      <c r="AI5" s="257" t="s">
        <v>271</v>
      </c>
      <c r="AJ5" s="258" t="s">
        <v>284</v>
      </c>
      <c r="AK5" s="257" t="s">
        <v>281</v>
      </c>
      <c r="AL5" s="258" t="s">
        <v>285</v>
      </c>
      <c r="AM5" s="257" t="s">
        <v>282</v>
      </c>
      <c r="AN5" s="289" t="s">
        <v>283</v>
      </c>
    </row>
    <row r="6" spans="1:40" ht="16.5" thickTop="1">
      <c r="A6" s="239">
        <v>1101</v>
      </c>
      <c r="B6" s="240" t="s">
        <v>2</v>
      </c>
      <c r="C6" s="241">
        <v>5279068.72</v>
      </c>
      <c r="D6" s="241">
        <v>5297555.21</v>
      </c>
      <c r="E6" s="241">
        <v>5316052.2</v>
      </c>
      <c r="F6" s="241">
        <v>5330267.15</v>
      </c>
      <c r="G6" s="241">
        <v>5266231.9</v>
      </c>
      <c r="H6" s="241">
        <v>5220643.39</v>
      </c>
      <c r="I6" s="241">
        <v>5323225.04</v>
      </c>
      <c r="J6" s="241">
        <v>5301878.26</v>
      </c>
      <c r="K6" s="241">
        <v>5274816.61</v>
      </c>
      <c r="L6" s="241">
        <v>5275827.2</v>
      </c>
      <c r="M6" s="241"/>
      <c r="N6" s="241"/>
      <c r="O6" s="241">
        <v>52885565.68</v>
      </c>
      <c r="P6" s="241">
        <v>52577391.008000016</v>
      </c>
      <c r="Q6" s="241">
        <v>-308174.6719999835</v>
      </c>
      <c r="R6" s="242">
        <v>-0.005861353446638167</v>
      </c>
      <c r="S6" s="34"/>
      <c r="T6" s="239">
        <v>1101</v>
      </c>
      <c r="U6" s="240" t="s">
        <v>2</v>
      </c>
      <c r="V6" s="241">
        <v>5275827.2</v>
      </c>
      <c r="W6" s="243">
        <v>0.15992354831713856</v>
      </c>
      <c r="X6" s="241">
        <v>5740456.424000001</v>
      </c>
      <c r="Y6" s="241">
        <v>464629.2240000004</v>
      </c>
      <c r="Z6" s="244">
        <v>0.08093942183019702</v>
      </c>
      <c r="AB6" s="239">
        <v>1101</v>
      </c>
      <c r="AC6" s="240" t="s">
        <v>2</v>
      </c>
      <c r="AD6" s="245">
        <f>+O6</f>
        <v>52885565.68</v>
      </c>
      <c r="AE6" s="245">
        <v>69209439</v>
      </c>
      <c r="AF6" s="246">
        <v>-395108</v>
      </c>
      <c r="AG6" s="245">
        <f>AE6+AF6</f>
        <v>68814331</v>
      </c>
      <c r="AH6" s="245">
        <f>AI6-AG6</f>
        <v>43973</v>
      </c>
      <c r="AI6" s="245">
        <v>68858304</v>
      </c>
      <c r="AJ6" s="245"/>
      <c r="AK6" s="245">
        <v>68858304</v>
      </c>
      <c r="AL6" s="290">
        <v>-4800000</v>
      </c>
      <c r="AM6" s="290">
        <v>64058304</v>
      </c>
      <c r="AN6" s="291">
        <f>AM6-AD6</f>
        <v>11172738.32</v>
      </c>
    </row>
    <row r="7" spans="1:40" ht="15.75">
      <c r="A7" s="35">
        <v>1202</v>
      </c>
      <c r="B7" s="30" t="s">
        <v>3</v>
      </c>
      <c r="C7" s="16">
        <v>475314.14</v>
      </c>
      <c r="D7" s="16">
        <v>3481478.2</v>
      </c>
      <c r="E7" s="16">
        <v>5184662.87</v>
      </c>
      <c r="F7" s="16">
        <v>5236288.29</v>
      </c>
      <c r="G7" s="16">
        <v>5253138.4</v>
      </c>
      <c r="H7" s="16">
        <v>8373337.71</v>
      </c>
      <c r="I7" s="16">
        <v>11762663.29</v>
      </c>
      <c r="J7" s="16">
        <v>3189522.92</v>
      </c>
      <c r="K7" s="16">
        <v>1235340</v>
      </c>
      <c r="L7" s="16">
        <v>1115966.04</v>
      </c>
      <c r="M7" s="16"/>
      <c r="N7" s="16"/>
      <c r="O7" s="16">
        <v>45307711.86</v>
      </c>
      <c r="P7" s="16">
        <v>41995389</v>
      </c>
      <c r="Q7" s="16">
        <v>-3312322.8599999994</v>
      </c>
      <c r="R7" s="149">
        <v>-0.07887348918234807</v>
      </c>
      <c r="S7" s="34"/>
      <c r="T7" s="35">
        <v>1202</v>
      </c>
      <c r="U7" s="30" t="s">
        <v>3</v>
      </c>
      <c r="V7" s="16">
        <v>1115966.04</v>
      </c>
      <c r="W7" s="172">
        <v>0.03382772826945996</v>
      </c>
      <c r="X7" s="16">
        <v>5000</v>
      </c>
      <c r="Y7" s="161">
        <v>-1110966.04</v>
      </c>
      <c r="Z7" s="37">
        <v>-222.193208</v>
      </c>
      <c r="AB7" s="35">
        <v>1202</v>
      </c>
      <c r="AC7" s="30" t="s">
        <v>3</v>
      </c>
      <c r="AD7" s="38">
        <f aca="true" t="shared" si="0" ref="AD7:AD24">+O7</f>
        <v>45307711.86</v>
      </c>
      <c r="AE7" s="38">
        <v>52932700</v>
      </c>
      <c r="AF7" s="162">
        <v>-8082325</v>
      </c>
      <c r="AG7" s="38">
        <f aca="true" t="shared" si="1" ref="AG7:AG24">AE7+AF7</f>
        <v>44850375</v>
      </c>
      <c r="AH7" s="38">
        <f>AI7-AG7</f>
        <v>32000</v>
      </c>
      <c r="AI7" s="38">
        <v>44882375</v>
      </c>
      <c r="AJ7" s="38"/>
      <c r="AK7" s="38">
        <v>44882375</v>
      </c>
      <c r="AL7" s="162">
        <v>-2876986</v>
      </c>
      <c r="AM7" s="162">
        <v>42005389</v>
      </c>
      <c r="AN7" s="292">
        <f aca="true" t="shared" si="2" ref="AN7:AN25">AM7-AD7</f>
        <v>-3302322.8599999994</v>
      </c>
    </row>
    <row r="8" spans="1:40" s="26" customFormat="1" ht="15.75">
      <c r="A8" s="259" t="s">
        <v>165</v>
      </c>
      <c r="B8" s="260" t="s">
        <v>166</v>
      </c>
      <c r="C8" s="197">
        <v>6401650.59</v>
      </c>
      <c r="D8" s="197">
        <v>15771231.37</v>
      </c>
      <c r="E8" s="197">
        <f>20217878.24-3542.7</f>
        <v>20214335.54</v>
      </c>
      <c r="F8" s="197">
        <v>20621753.12</v>
      </c>
      <c r="G8" s="197">
        <v>21523640.79</v>
      </c>
      <c r="H8" s="197">
        <v>30719013.58</v>
      </c>
      <c r="I8" s="197">
        <v>24629567.63</v>
      </c>
      <c r="J8" s="197">
        <v>3631018.08</v>
      </c>
      <c r="K8" s="197">
        <v>2097816.95</v>
      </c>
      <c r="L8" s="197">
        <v>2638965.78</v>
      </c>
      <c r="M8" s="197"/>
      <c r="N8" s="197"/>
      <c r="O8" s="197">
        <v>148248993.43</v>
      </c>
      <c r="P8" s="197">
        <v>149183609.46627107</v>
      </c>
      <c r="Q8" s="197">
        <v>934616.0362710655</v>
      </c>
      <c r="R8" s="261">
        <v>0.006264870783156462</v>
      </c>
      <c r="S8" s="34"/>
      <c r="T8" s="259" t="s">
        <v>165</v>
      </c>
      <c r="U8" s="260" t="s">
        <v>166</v>
      </c>
      <c r="V8" s="197">
        <v>2638965.78</v>
      </c>
      <c r="W8" s="262">
        <v>0.07999366837206215</v>
      </c>
      <c r="X8" s="197">
        <v>2108373.654711111</v>
      </c>
      <c r="Y8" s="197">
        <v>-530592.1252888888</v>
      </c>
      <c r="Z8" s="263">
        <v>-0.2516594362215129</v>
      </c>
      <c r="AB8" s="259" t="s">
        <v>165</v>
      </c>
      <c r="AC8" s="260" t="s">
        <v>166</v>
      </c>
      <c r="AD8" s="264">
        <f t="shared" si="0"/>
        <v>148248993.43</v>
      </c>
      <c r="AE8" s="264">
        <v>217680164</v>
      </c>
      <c r="AF8" s="265">
        <v>-51505942</v>
      </c>
      <c r="AG8" s="264">
        <f t="shared" si="1"/>
        <v>166174222</v>
      </c>
      <c r="AH8" s="264">
        <f aca="true" t="shared" si="3" ref="AH8:AH24">AI8-AG8</f>
        <v>19690</v>
      </c>
      <c r="AI8" s="264">
        <v>166193912</v>
      </c>
      <c r="AJ8" s="264"/>
      <c r="AK8" s="264">
        <v>166193912</v>
      </c>
      <c r="AL8" s="293">
        <v>-11800000</v>
      </c>
      <c r="AM8" s="293">
        <v>154393912</v>
      </c>
      <c r="AN8" s="294">
        <f t="shared" si="2"/>
        <v>6144918.569999993</v>
      </c>
    </row>
    <row r="9" spans="1:40" ht="15.75">
      <c r="A9" s="35" t="s">
        <v>234</v>
      </c>
      <c r="B9" s="30" t="s">
        <v>235</v>
      </c>
      <c r="C9" s="16">
        <v>1851220.72</v>
      </c>
      <c r="D9" s="16">
        <v>1860225.99</v>
      </c>
      <c r="E9" s="16">
        <v>1866758.42</v>
      </c>
      <c r="F9" s="16">
        <v>1867228.77</v>
      </c>
      <c r="G9" s="16">
        <v>1845171.32</v>
      </c>
      <c r="H9" s="16">
        <v>1826069.38</v>
      </c>
      <c r="I9" s="16">
        <v>1812721.59</v>
      </c>
      <c r="J9" s="16">
        <v>1839970.29</v>
      </c>
      <c r="K9" s="16">
        <v>1849328.94</v>
      </c>
      <c r="L9" s="16">
        <v>1849328.94</v>
      </c>
      <c r="M9" s="16"/>
      <c r="N9" s="16"/>
      <c r="O9" s="16">
        <v>18468024.36</v>
      </c>
      <c r="P9" s="16">
        <v>19169718.290675994</v>
      </c>
      <c r="Q9" s="16">
        <v>701693.9306759946</v>
      </c>
      <c r="R9" s="149">
        <v>0.03660429016410185</v>
      </c>
      <c r="S9" s="34"/>
      <c r="T9" s="35" t="s">
        <v>234</v>
      </c>
      <c r="U9" s="30" t="s">
        <v>235</v>
      </c>
      <c r="V9" s="16">
        <v>1849328.94</v>
      </c>
      <c r="W9" s="172">
        <v>0.056057796223949984</v>
      </c>
      <c r="X9" s="16">
        <v>1916971.8290676</v>
      </c>
      <c r="Y9" s="16">
        <v>67642.88906760002</v>
      </c>
      <c r="Z9" s="37">
        <v>0.035286324004302656</v>
      </c>
      <c r="AB9" s="35" t="s">
        <v>234</v>
      </c>
      <c r="AC9" s="30" t="s">
        <v>235</v>
      </c>
      <c r="AD9" s="38">
        <f t="shared" si="0"/>
        <v>18468024.36</v>
      </c>
      <c r="AE9" s="38">
        <v>22372180</v>
      </c>
      <c r="AF9" s="162">
        <v>353175</v>
      </c>
      <c r="AG9" s="38">
        <f t="shared" si="1"/>
        <v>22725355</v>
      </c>
      <c r="AH9" s="38">
        <f t="shared" si="3"/>
        <v>278307</v>
      </c>
      <c r="AI9" s="38">
        <v>23003662</v>
      </c>
      <c r="AJ9" s="38"/>
      <c r="AK9" s="38">
        <v>23003662</v>
      </c>
      <c r="AL9" s="162"/>
      <c r="AM9" s="162">
        <v>23003662</v>
      </c>
      <c r="AN9" s="292">
        <f t="shared" si="2"/>
        <v>4535637.640000001</v>
      </c>
    </row>
    <row r="10" spans="1:40" s="26" customFormat="1" ht="15.75">
      <c r="A10" s="259">
        <v>1311</v>
      </c>
      <c r="B10" s="260" t="s">
        <v>87</v>
      </c>
      <c r="C10" s="197">
        <v>0</v>
      </c>
      <c r="D10" s="197">
        <v>304.18</v>
      </c>
      <c r="E10" s="197">
        <v>618526.36</v>
      </c>
      <c r="F10" s="197">
        <v>6687.66</v>
      </c>
      <c r="G10" s="197">
        <v>17046.8</v>
      </c>
      <c r="H10" s="197">
        <v>12773.8</v>
      </c>
      <c r="I10" s="197">
        <v>1215720.52</v>
      </c>
      <c r="J10" s="197">
        <v>96012.21</v>
      </c>
      <c r="K10" s="197"/>
      <c r="L10" s="197">
        <v>82257.5</v>
      </c>
      <c r="M10" s="197"/>
      <c r="N10" s="197"/>
      <c r="O10" s="197">
        <v>2049329.0300000003</v>
      </c>
      <c r="P10" s="197">
        <v>2346200.5953535084</v>
      </c>
      <c r="Q10" s="197">
        <v>296871.5653535081</v>
      </c>
      <c r="R10" s="261">
        <v>0.12653290001777434</v>
      </c>
      <c r="S10" s="34"/>
      <c r="T10" s="259">
        <v>1311</v>
      </c>
      <c r="U10" s="260" t="s">
        <v>87</v>
      </c>
      <c r="V10" s="197">
        <v>82257.5</v>
      </c>
      <c r="W10" s="262">
        <v>0.0024934310349848123</v>
      </c>
      <c r="X10" s="197">
        <v>12483.608414133332</v>
      </c>
      <c r="Y10" s="197">
        <v>-69773.89158586667</v>
      </c>
      <c r="Z10" s="263">
        <v>-5.589240648310634</v>
      </c>
      <c r="AB10" s="259">
        <v>1311</v>
      </c>
      <c r="AC10" s="260" t="s">
        <v>87</v>
      </c>
      <c r="AD10" s="264">
        <f t="shared" si="0"/>
        <v>2049329.0300000003</v>
      </c>
      <c r="AE10" s="264">
        <v>4139168</v>
      </c>
      <c r="AF10" s="265">
        <v>-682450</v>
      </c>
      <c r="AG10" s="264">
        <f t="shared" si="1"/>
        <v>3456718</v>
      </c>
      <c r="AH10" s="264">
        <f t="shared" si="3"/>
        <v>1134</v>
      </c>
      <c r="AI10" s="264">
        <v>3457852</v>
      </c>
      <c r="AJ10" s="264"/>
      <c r="AK10" s="264">
        <v>3457852</v>
      </c>
      <c r="AL10" s="293"/>
      <c r="AM10" s="293">
        <v>3457852</v>
      </c>
      <c r="AN10" s="294">
        <f t="shared" si="2"/>
        <v>1408522.9699999997</v>
      </c>
    </row>
    <row r="11" spans="1:40" ht="15.75">
      <c r="A11" s="35">
        <v>1312</v>
      </c>
      <c r="B11" s="30" t="s">
        <v>4</v>
      </c>
      <c r="C11" s="16">
        <v>0</v>
      </c>
      <c r="D11" s="16">
        <v>3041.75</v>
      </c>
      <c r="E11" s="16">
        <v>4978.69</v>
      </c>
      <c r="F11" s="16">
        <v>97880.02</v>
      </c>
      <c r="G11" s="16">
        <v>170468.46</v>
      </c>
      <c r="H11" s="16">
        <v>127738.21</v>
      </c>
      <c r="I11" s="16">
        <v>15126715.48</v>
      </c>
      <c r="J11" s="16">
        <v>1017417.08</v>
      </c>
      <c r="K11" s="16"/>
      <c r="L11" s="16">
        <v>821527.87</v>
      </c>
      <c r="M11" s="16"/>
      <c r="N11" s="16"/>
      <c r="O11" s="16">
        <v>17369767.560000002</v>
      </c>
      <c r="P11" s="16">
        <v>18708154.921418276</v>
      </c>
      <c r="Q11" s="16">
        <v>1338387.3614182733</v>
      </c>
      <c r="R11" s="149">
        <v>0.07154031848891752</v>
      </c>
      <c r="S11" s="34"/>
      <c r="T11" s="35">
        <v>1312</v>
      </c>
      <c r="U11" s="30" t="s">
        <v>4</v>
      </c>
      <c r="V11" s="16">
        <v>821527.87</v>
      </c>
      <c r="W11" s="172">
        <v>0.02490256921451501</v>
      </c>
      <c r="X11" s="16">
        <v>124836.08414133335</v>
      </c>
      <c r="Y11" s="161">
        <v>-696691.7858586666</v>
      </c>
      <c r="Z11" s="37">
        <v>-5.580852608849105</v>
      </c>
      <c r="AB11" s="35">
        <v>1312</v>
      </c>
      <c r="AC11" s="30" t="s">
        <v>4</v>
      </c>
      <c r="AD11" s="38">
        <f t="shared" si="0"/>
        <v>17369767.560000002</v>
      </c>
      <c r="AE11" s="38">
        <v>41391682</v>
      </c>
      <c r="AF11" s="162">
        <v>-6824506</v>
      </c>
      <c r="AG11" s="38">
        <f t="shared" si="1"/>
        <v>34567176</v>
      </c>
      <c r="AH11" s="38">
        <f t="shared" si="3"/>
        <v>11343</v>
      </c>
      <c r="AI11" s="38">
        <v>34578519</v>
      </c>
      <c r="AJ11" s="38"/>
      <c r="AK11" s="38">
        <v>34578519</v>
      </c>
      <c r="AL11" s="162"/>
      <c r="AM11" s="162">
        <v>34578519</v>
      </c>
      <c r="AN11" s="292">
        <f t="shared" si="2"/>
        <v>17208751.439999998</v>
      </c>
    </row>
    <row r="12" spans="1:40" s="26" customFormat="1" ht="15.75">
      <c r="A12" s="259" t="s">
        <v>236</v>
      </c>
      <c r="B12" s="260" t="s">
        <v>242</v>
      </c>
      <c r="C12" s="197">
        <v>0</v>
      </c>
      <c r="D12" s="197"/>
      <c r="E12" s="197"/>
      <c r="F12" s="197"/>
      <c r="G12" s="197"/>
      <c r="H12" s="197"/>
      <c r="I12" s="197"/>
      <c r="J12" s="197">
        <v>270419.02</v>
      </c>
      <c r="K12" s="197"/>
      <c r="L12" s="197">
        <v>0</v>
      </c>
      <c r="M12" s="197"/>
      <c r="N12" s="197"/>
      <c r="O12" s="197">
        <v>270419.02</v>
      </c>
      <c r="P12" s="197">
        <v>200000</v>
      </c>
      <c r="Q12" s="197">
        <v>-70419.02000000002</v>
      </c>
      <c r="R12" s="261">
        <v>-0.3520951000000001</v>
      </c>
      <c r="S12" s="34"/>
      <c r="T12" s="259" t="s">
        <v>236</v>
      </c>
      <c r="U12" s="260" t="s">
        <v>242</v>
      </c>
      <c r="V12" s="197">
        <v>0</v>
      </c>
      <c r="W12" s="262">
        <v>0</v>
      </c>
      <c r="X12" s="197">
        <v>0</v>
      </c>
      <c r="Y12" s="197">
        <v>0</v>
      </c>
      <c r="Z12" s="263"/>
      <c r="AB12" s="259" t="s">
        <v>236</v>
      </c>
      <c r="AC12" s="260" t="s">
        <v>237</v>
      </c>
      <c r="AD12" s="264">
        <f t="shared" si="0"/>
        <v>270419.02</v>
      </c>
      <c r="AE12" s="264">
        <v>200000</v>
      </c>
      <c r="AF12" s="265"/>
      <c r="AG12" s="264">
        <f t="shared" si="1"/>
        <v>200000</v>
      </c>
      <c r="AH12" s="264">
        <f t="shared" si="3"/>
        <v>0</v>
      </c>
      <c r="AI12" s="264">
        <v>200000</v>
      </c>
      <c r="AJ12" s="264"/>
      <c r="AK12" s="264">
        <v>200000</v>
      </c>
      <c r="AL12" s="293"/>
      <c r="AM12" s="293">
        <v>200000</v>
      </c>
      <c r="AN12" s="294">
        <f t="shared" si="2"/>
        <v>-70419.02000000002</v>
      </c>
    </row>
    <row r="13" spans="1:40" ht="15.75">
      <c r="A13" s="35">
        <v>1325</v>
      </c>
      <c r="B13" s="30" t="s">
        <v>134</v>
      </c>
      <c r="C13" s="16"/>
      <c r="D13" s="16"/>
      <c r="E13" s="16"/>
      <c r="F13" s="16"/>
      <c r="G13" s="16"/>
      <c r="H13" s="16"/>
      <c r="I13" s="16"/>
      <c r="J13" s="16"/>
      <c r="K13" s="16">
        <v>3565506.31</v>
      </c>
      <c r="L13" s="16">
        <v>0</v>
      </c>
      <c r="M13" s="16"/>
      <c r="N13" s="16"/>
      <c r="O13" s="16">
        <v>3565506.31</v>
      </c>
      <c r="P13" s="16">
        <v>2891278.4993333337</v>
      </c>
      <c r="Q13" s="16">
        <v>-674227.8106666664</v>
      </c>
      <c r="R13" s="149"/>
      <c r="S13" s="34"/>
      <c r="T13" s="35">
        <v>1325</v>
      </c>
      <c r="U13" s="30" t="s">
        <v>134</v>
      </c>
      <c r="V13" s="16">
        <v>0</v>
      </c>
      <c r="W13" s="172">
        <v>0</v>
      </c>
      <c r="X13" s="16">
        <v>0</v>
      </c>
      <c r="Y13" s="161">
        <v>0</v>
      </c>
      <c r="Z13" s="37" t="s">
        <v>137</v>
      </c>
      <c r="AB13" s="35">
        <v>1325</v>
      </c>
      <c r="AC13" s="30" t="s">
        <v>134</v>
      </c>
      <c r="AD13" s="38">
        <f t="shared" si="0"/>
        <v>3565506.31</v>
      </c>
      <c r="AE13" s="38">
        <v>3268051</v>
      </c>
      <c r="AF13" s="162">
        <v>-378605</v>
      </c>
      <c r="AG13" s="38">
        <f t="shared" si="1"/>
        <v>2889446</v>
      </c>
      <c r="AH13" s="38">
        <f t="shared" si="3"/>
        <v>1832</v>
      </c>
      <c r="AI13" s="38">
        <v>2891278</v>
      </c>
      <c r="AJ13" s="38"/>
      <c r="AK13" s="38">
        <v>2891278</v>
      </c>
      <c r="AL13" s="162"/>
      <c r="AM13" s="162">
        <v>2891278</v>
      </c>
      <c r="AN13" s="292">
        <f t="shared" si="2"/>
        <v>-674228.31</v>
      </c>
    </row>
    <row r="14" spans="1:40" s="26" customFormat="1" ht="15.75">
      <c r="A14" s="259">
        <v>1401</v>
      </c>
      <c r="B14" s="260" t="s">
        <v>5</v>
      </c>
      <c r="C14" s="197">
        <v>473089.3</v>
      </c>
      <c r="D14" s="197">
        <v>474246.48</v>
      </c>
      <c r="E14" s="197">
        <v>475603.32</v>
      </c>
      <c r="F14" s="197">
        <v>475701.01</v>
      </c>
      <c r="G14" s="197">
        <v>474287.87</v>
      </c>
      <c r="H14" s="197">
        <v>234997.06</v>
      </c>
      <c r="I14" s="197">
        <v>704650.71</v>
      </c>
      <c r="J14" s="197">
        <v>472881.48</v>
      </c>
      <c r="K14" s="197">
        <v>474825.36</v>
      </c>
      <c r="L14" s="197">
        <v>474825.36</v>
      </c>
      <c r="M14" s="197"/>
      <c r="N14" s="197"/>
      <c r="O14" s="197">
        <v>4735107.95</v>
      </c>
      <c r="P14" s="197">
        <v>4303303.9506</v>
      </c>
      <c r="Q14" s="197">
        <v>-431803.9994000001</v>
      </c>
      <c r="R14" s="261">
        <v>-0.10034243556971954</v>
      </c>
      <c r="S14" s="34"/>
      <c r="T14" s="259">
        <v>1401</v>
      </c>
      <c r="U14" s="260" t="s">
        <v>5</v>
      </c>
      <c r="V14" s="197">
        <v>474825.36</v>
      </c>
      <c r="W14" s="262">
        <v>0.014393146993548748</v>
      </c>
      <c r="X14" s="197">
        <v>430534.19430000003</v>
      </c>
      <c r="Y14" s="277">
        <v>-44291.165699999954</v>
      </c>
      <c r="Z14" s="263">
        <v>-0.10287490816382747</v>
      </c>
      <c r="AB14" s="259">
        <v>1401</v>
      </c>
      <c r="AC14" s="260" t="s">
        <v>5</v>
      </c>
      <c r="AD14" s="264">
        <f t="shared" si="0"/>
        <v>4735107.95</v>
      </c>
      <c r="AE14" s="264">
        <v>5190707</v>
      </c>
      <c r="AF14" s="265">
        <v>-29633</v>
      </c>
      <c r="AG14" s="264">
        <f t="shared" si="1"/>
        <v>5161074</v>
      </c>
      <c r="AH14" s="264">
        <f t="shared" si="3"/>
        <v>3298</v>
      </c>
      <c r="AI14" s="264">
        <v>5164372</v>
      </c>
      <c r="AJ14" s="264"/>
      <c r="AK14" s="264">
        <v>5164372</v>
      </c>
      <c r="AL14" s="293"/>
      <c r="AM14" s="293">
        <v>5164372</v>
      </c>
      <c r="AN14" s="294">
        <f t="shared" si="2"/>
        <v>429264.0499999998</v>
      </c>
    </row>
    <row r="15" spans="1:40" ht="15.75">
      <c r="A15" s="35">
        <v>1402</v>
      </c>
      <c r="B15" s="30" t="s">
        <v>6</v>
      </c>
      <c r="C15" s="16">
        <v>157697.05</v>
      </c>
      <c r="D15" s="16">
        <v>158082.78</v>
      </c>
      <c r="E15" s="16">
        <v>158535.06</v>
      </c>
      <c r="F15" s="16">
        <v>158567.62</v>
      </c>
      <c r="G15" s="16">
        <v>158096.57</v>
      </c>
      <c r="H15" s="16">
        <v>78332.65</v>
      </c>
      <c r="I15" s="16">
        <v>234884.46</v>
      </c>
      <c r="J15" s="16">
        <v>157627.77</v>
      </c>
      <c r="K15" s="16">
        <v>158275.74</v>
      </c>
      <c r="L15" s="16">
        <v>158275.74</v>
      </c>
      <c r="M15" s="16"/>
      <c r="N15" s="16"/>
      <c r="O15" s="16">
        <v>1578374.98</v>
      </c>
      <c r="P15" s="16">
        <v>1721321.5802400003</v>
      </c>
      <c r="Q15" s="16">
        <v>142946.6002400003</v>
      </c>
      <c r="R15" s="149">
        <v>0.08304468025089742</v>
      </c>
      <c r="S15" s="34"/>
      <c r="T15" s="35">
        <v>1402</v>
      </c>
      <c r="U15" s="30" t="s">
        <v>6</v>
      </c>
      <c r="V15" s="16">
        <v>158275.74</v>
      </c>
      <c r="W15" s="172">
        <v>0.004797734458270517</v>
      </c>
      <c r="X15" s="16">
        <v>172213.67772</v>
      </c>
      <c r="Y15" s="16">
        <v>13937.937720000016</v>
      </c>
      <c r="Z15" s="37">
        <v>0.08093397635152726</v>
      </c>
      <c r="AB15" s="35">
        <v>1402</v>
      </c>
      <c r="AC15" s="30" t="s">
        <v>6</v>
      </c>
      <c r="AD15" s="38">
        <f t="shared" si="0"/>
        <v>1578374.98</v>
      </c>
      <c r="AE15" s="38">
        <v>2076283</v>
      </c>
      <c r="AF15" s="162">
        <v>-11853</v>
      </c>
      <c r="AG15" s="38">
        <f t="shared" si="1"/>
        <v>2064430</v>
      </c>
      <c r="AH15" s="38">
        <f t="shared" si="3"/>
        <v>1319</v>
      </c>
      <c r="AI15" s="38">
        <v>2065749</v>
      </c>
      <c r="AJ15" s="38"/>
      <c r="AK15" s="38">
        <v>2065749</v>
      </c>
      <c r="AL15" s="162"/>
      <c r="AM15" s="162">
        <v>2065749</v>
      </c>
      <c r="AN15" s="292">
        <f t="shared" si="2"/>
        <v>487374.02</v>
      </c>
    </row>
    <row r="16" spans="1:40" s="26" customFormat="1" ht="15.75">
      <c r="A16" s="259">
        <v>1403</v>
      </c>
      <c r="B16" s="260" t="s">
        <v>7</v>
      </c>
      <c r="C16" s="197"/>
      <c r="D16" s="197"/>
      <c r="E16" s="197">
        <v>976654.16</v>
      </c>
      <c r="F16" s="197">
        <v>13544.73</v>
      </c>
      <c r="G16" s="197"/>
      <c r="H16" s="197"/>
      <c r="I16" s="197">
        <v>475.41</v>
      </c>
      <c r="J16" s="197">
        <v>-35203.69</v>
      </c>
      <c r="K16" s="197">
        <v>1518.84</v>
      </c>
      <c r="L16" s="197"/>
      <c r="M16" s="197"/>
      <c r="N16" s="197"/>
      <c r="O16" s="197">
        <v>956989.4500000001</v>
      </c>
      <c r="P16" s="197">
        <v>2509230.5</v>
      </c>
      <c r="Q16" s="197">
        <v>1552241.0499999998</v>
      </c>
      <c r="R16" s="261">
        <v>0.6186123793728794</v>
      </c>
      <c r="S16" s="34"/>
      <c r="T16" s="259">
        <v>1403</v>
      </c>
      <c r="U16" s="260" t="s">
        <v>7</v>
      </c>
      <c r="V16" s="197">
        <v>0</v>
      </c>
      <c r="W16" s="262">
        <v>0</v>
      </c>
      <c r="X16" s="197">
        <v>0</v>
      </c>
      <c r="Y16" s="197">
        <v>0</v>
      </c>
      <c r="Z16" s="263"/>
      <c r="AB16" s="259">
        <v>1403</v>
      </c>
      <c r="AC16" s="260" t="s">
        <v>7</v>
      </c>
      <c r="AD16" s="264">
        <f t="shared" si="0"/>
        <v>956989.4500000001</v>
      </c>
      <c r="AE16" s="264">
        <v>3111900</v>
      </c>
      <c r="AF16" s="265">
        <v>-597769</v>
      </c>
      <c r="AG16" s="264">
        <f t="shared" si="1"/>
        <v>2514131</v>
      </c>
      <c r="AH16" s="264">
        <f t="shared" si="3"/>
        <v>-4900</v>
      </c>
      <c r="AI16" s="264">
        <v>2509231</v>
      </c>
      <c r="AJ16" s="264"/>
      <c r="AK16" s="264">
        <v>2509231</v>
      </c>
      <c r="AL16" s="293"/>
      <c r="AM16" s="293">
        <v>2509231</v>
      </c>
      <c r="AN16" s="294">
        <f t="shared" si="2"/>
        <v>1552241.5499999998</v>
      </c>
    </row>
    <row r="17" spans="1:40" ht="15.75">
      <c r="A17" s="35">
        <v>1404</v>
      </c>
      <c r="B17" s="30" t="s">
        <v>78</v>
      </c>
      <c r="C17" s="16">
        <v>345490.62</v>
      </c>
      <c r="D17" s="16">
        <v>385144.5</v>
      </c>
      <c r="E17" s="16">
        <v>444312.58</v>
      </c>
      <c r="F17" s="16">
        <v>456045.14</v>
      </c>
      <c r="G17" s="16">
        <v>522102.67</v>
      </c>
      <c r="H17" s="16">
        <v>716497.29</v>
      </c>
      <c r="I17" s="16">
        <v>629607.05</v>
      </c>
      <c r="J17" s="16">
        <v>235866.34</v>
      </c>
      <c r="K17" s="16">
        <v>178891</v>
      </c>
      <c r="L17" s="16">
        <v>182294.82</v>
      </c>
      <c r="M17" s="16"/>
      <c r="N17" s="16"/>
      <c r="O17" s="16">
        <v>4096252.0099999993</v>
      </c>
      <c r="P17" s="16">
        <v>3558184.0103</v>
      </c>
      <c r="Q17" s="16">
        <v>-538067.9996999991</v>
      </c>
      <c r="R17" s="149">
        <v>-0.15121983521437754</v>
      </c>
      <c r="S17" s="34"/>
      <c r="T17" s="35">
        <v>1404</v>
      </c>
      <c r="U17" s="30" t="s">
        <v>78</v>
      </c>
      <c r="V17" s="16">
        <v>182294.82</v>
      </c>
      <c r="W17" s="172">
        <v>0.005525812986110325</v>
      </c>
      <c r="X17" s="16">
        <v>193647.26989999998</v>
      </c>
      <c r="Y17" s="161">
        <v>11352.449899999978</v>
      </c>
      <c r="Z17" s="37">
        <v>0.05862437361426482</v>
      </c>
      <c r="AB17" s="35">
        <v>1404</v>
      </c>
      <c r="AC17" s="30" t="s">
        <v>78</v>
      </c>
      <c r="AD17" s="38">
        <f t="shared" si="0"/>
        <v>4096252.0099999993</v>
      </c>
      <c r="AE17" s="38">
        <v>4308899</v>
      </c>
      <c r="AF17" s="162">
        <v>-369481</v>
      </c>
      <c r="AG17" s="38">
        <f t="shared" si="1"/>
        <v>3939418</v>
      </c>
      <c r="AH17" s="38">
        <f t="shared" si="3"/>
        <v>1566</v>
      </c>
      <c r="AI17" s="38">
        <v>3940984</v>
      </c>
      <c r="AJ17" s="38"/>
      <c r="AK17" s="38">
        <v>3940984</v>
      </c>
      <c r="AL17" s="162"/>
      <c r="AM17" s="162">
        <v>3940984</v>
      </c>
      <c r="AN17" s="292">
        <f t="shared" si="2"/>
        <v>-155268.0099999993</v>
      </c>
    </row>
    <row r="18" spans="1:40" s="26" customFormat="1" ht="15.75">
      <c r="A18" s="259">
        <v>1405</v>
      </c>
      <c r="B18" s="260" t="s">
        <v>70</v>
      </c>
      <c r="C18" s="197">
        <v>83731.37</v>
      </c>
      <c r="D18" s="197">
        <v>84298.65</v>
      </c>
      <c r="E18" s="197">
        <v>84290.04</v>
      </c>
      <c r="F18" s="197">
        <v>84311.75</v>
      </c>
      <c r="G18" s="197">
        <v>83997.72</v>
      </c>
      <c r="H18" s="197">
        <v>41521.78</v>
      </c>
      <c r="I18" s="197">
        <v>124489.68</v>
      </c>
      <c r="J18" s="197">
        <v>83275.21</v>
      </c>
      <c r="K18" s="197">
        <v>41895.33</v>
      </c>
      <c r="L18" s="197">
        <v>125686.59</v>
      </c>
      <c r="M18" s="197"/>
      <c r="N18" s="197"/>
      <c r="O18" s="197">
        <v>837498.1199999999</v>
      </c>
      <c r="P18" s="197">
        <v>1147547.7201599998</v>
      </c>
      <c r="Q18" s="197">
        <v>310049.6001599999</v>
      </c>
      <c r="R18" s="261">
        <v>0.2701844940415815</v>
      </c>
      <c r="S18" s="34"/>
      <c r="T18" s="259">
        <v>1405</v>
      </c>
      <c r="U18" s="260" t="s">
        <v>70</v>
      </c>
      <c r="V18" s="197">
        <v>125686.59</v>
      </c>
      <c r="W18" s="262">
        <v>0.003809875624562037</v>
      </c>
      <c r="X18" s="197">
        <v>114809.11848</v>
      </c>
      <c r="Y18" s="197">
        <v>-10877.471519999992</v>
      </c>
      <c r="Z18" s="263">
        <v>-0.09474396863255134</v>
      </c>
      <c r="AB18" s="259">
        <v>1405</v>
      </c>
      <c r="AC18" s="260" t="s">
        <v>253</v>
      </c>
      <c r="AD18" s="264">
        <f t="shared" si="0"/>
        <v>837498.1199999999</v>
      </c>
      <c r="AE18" s="264">
        <v>1384189</v>
      </c>
      <c r="AF18" s="265">
        <v>-7903</v>
      </c>
      <c r="AG18" s="264">
        <f t="shared" si="1"/>
        <v>1376286</v>
      </c>
      <c r="AH18" s="264">
        <f t="shared" si="3"/>
        <v>880</v>
      </c>
      <c r="AI18" s="264">
        <v>1377166</v>
      </c>
      <c r="AJ18" s="264"/>
      <c r="AK18" s="264">
        <v>1377166</v>
      </c>
      <c r="AL18" s="293"/>
      <c r="AM18" s="293">
        <v>1377166</v>
      </c>
      <c r="AN18" s="294">
        <f t="shared" si="2"/>
        <v>539667.8800000001</v>
      </c>
    </row>
    <row r="19" spans="1:40" ht="15.75">
      <c r="A19" s="35" t="s">
        <v>210</v>
      </c>
      <c r="B19" s="30" t="s">
        <v>211</v>
      </c>
      <c r="C19" s="16"/>
      <c r="D19" s="16"/>
      <c r="E19" s="16">
        <v>0</v>
      </c>
      <c r="F19" s="16"/>
      <c r="G19" s="16"/>
      <c r="H19" s="16"/>
      <c r="I19" s="16"/>
      <c r="J19" s="16"/>
      <c r="K19" s="16"/>
      <c r="L19" s="16">
        <v>0</v>
      </c>
      <c r="M19" s="16"/>
      <c r="N19" s="16"/>
      <c r="O19" s="16">
        <v>0</v>
      </c>
      <c r="P19" s="16">
        <v>1000000</v>
      </c>
      <c r="Q19" s="16">
        <v>1000000</v>
      </c>
      <c r="R19" s="149">
        <v>1</v>
      </c>
      <c r="S19" s="34"/>
      <c r="T19" s="35" t="s">
        <v>210</v>
      </c>
      <c r="U19" s="30" t="s">
        <v>211</v>
      </c>
      <c r="V19" s="16">
        <v>0</v>
      </c>
      <c r="W19" s="172">
        <v>0</v>
      </c>
      <c r="X19" s="16">
        <v>0</v>
      </c>
      <c r="Y19" s="16">
        <v>0</v>
      </c>
      <c r="Z19" s="37"/>
      <c r="AB19" s="35" t="s">
        <v>210</v>
      </c>
      <c r="AC19" s="30" t="s">
        <v>211</v>
      </c>
      <c r="AD19" s="38">
        <f t="shared" si="0"/>
        <v>0</v>
      </c>
      <c r="AE19" s="38">
        <v>1000000</v>
      </c>
      <c r="AF19" s="162"/>
      <c r="AG19" s="38">
        <f t="shared" si="1"/>
        <v>1000000</v>
      </c>
      <c r="AH19" s="38">
        <f t="shared" si="3"/>
        <v>0</v>
      </c>
      <c r="AI19" s="38">
        <v>1000000</v>
      </c>
      <c r="AJ19" s="38"/>
      <c r="AK19" s="38">
        <v>1000000</v>
      </c>
      <c r="AL19" s="162"/>
      <c r="AM19" s="162">
        <v>1000000</v>
      </c>
      <c r="AN19" s="292">
        <f t="shared" si="2"/>
        <v>1000000</v>
      </c>
    </row>
    <row r="20" spans="1:40" s="26" customFormat="1" ht="15.75">
      <c r="A20" s="259" t="s">
        <v>224</v>
      </c>
      <c r="B20" s="260" t="s">
        <v>225</v>
      </c>
      <c r="C20" s="197">
        <v>34500</v>
      </c>
      <c r="D20" s="197">
        <v>33750</v>
      </c>
      <c r="E20" s="197">
        <v>35250</v>
      </c>
      <c r="F20" s="197">
        <v>39000</v>
      </c>
      <c r="G20" s="197">
        <v>38250</v>
      </c>
      <c r="H20" s="197">
        <v>34500</v>
      </c>
      <c r="I20" s="197">
        <v>37500</v>
      </c>
      <c r="J20" s="197">
        <v>39000</v>
      </c>
      <c r="K20" s="197">
        <v>36000</v>
      </c>
      <c r="L20" s="197">
        <v>39000</v>
      </c>
      <c r="M20" s="197"/>
      <c r="N20" s="197"/>
      <c r="O20" s="197">
        <v>366750</v>
      </c>
      <c r="P20" s="197">
        <v>750000</v>
      </c>
      <c r="Q20" s="197">
        <v>383250</v>
      </c>
      <c r="R20" s="261">
        <v>0.511</v>
      </c>
      <c r="S20" s="34"/>
      <c r="T20" s="259" t="s">
        <v>224</v>
      </c>
      <c r="U20" s="260" t="s">
        <v>225</v>
      </c>
      <c r="V20" s="197">
        <v>39000</v>
      </c>
      <c r="W20" s="262">
        <v>0.0011821877684637593</v>
      </c>
      <c r="X20" s="197">
        <v>75000</v>
      </c>
      <c r="Y20" s="197">
        <v>36000</v>
      </c>
      <c r="Z20" s="263">
        <v>0.48</v>
      </c>
      <c r="AB20" s="259" t="s">
        <v>224</v>
      </c>
      <c r="AC20" s="260" t="s">
        <v>225</v>
      </c>
      <c r="AD20" s="264">
        <f t="shared" si="0"/>
        <v>366750</v>
      </c>
      <c r="AE20" s="264">
        <v>900000</v>
      </c>
      <c r="AF20" s="265"/>
      <c r="AG20" s="264">
        <f t="shared" si="1"/>
        <v>900000</v>
      </c>
      <c r="AH20" s="264">
        <f t="shared" si="3"/>
        <v>0</v>
      </c>
      <c r="AI20" s="264">
        <v>900000</v>
      </c>
      <c r="AJ20" s="264"/>
      <c r="AK20" s="264">
        <v>900000</v>
      </c>
      <c r="AL20" s="293"/>
      <c r="AM20" s="293">
        <v>900000</v>
      </c>
      <c r="AN20" s="294">
        <f t="shared" si="2"/>
        <v>533250</v>
      </c>
    </row>
    <row r="21" spans="1:40" ht="15.75">
      <c r="A21" s="35" t="s">
        <v>269</v>
      </c>
      <c r="B21" s="30" t="s">
        <v>270</v>
      </c>
      <c r="C21" s="16"/>
      <c r="D21" s="16"/>
      <c r="E21" s="16">
        <v>1986.36</v>
      </c>
      <c r="F21" s="16"/>
      <c r="G21" s="16"/>
      <c r="H21" s="16"/>
      <c r="I21" s="16"/>
      <c r="J21" s="16"/>
      <c r="K21" s="16"/>
      <c r="L21" s="16">
        <v>0</v>
      </c>
      <c r="M21" s="16"/>
      <c r="N21" s="16"/>
      <c r="O21" s="16">
        <v>1986.36</v>
      </c>
      <c r="P21" s="16">
        <v>1986</v>
      </c>
      <c r="Q21" s="16">
        <v>-0.35999999999989996</v>
      </c>
      <c r="R21" s="149"/>
      <c r="S21" s="34"/>
      <c r="T21" s="35" t="s">
        <v>269</v>
      </c>
      <c r="U21" s="30" t="s">
        <v>270</v>
      </c>
      <c r="V21" s="16">
        <v>0</v>
      </c>
      <c r="W21" s="172">
        <v>0</v>
      </c>
      <c r="X21" s="16">
        <v>0</v>
      </c>
      <c r="Z21" s="37"/>
      <c r="AB21" s="35" t="s">
        <v>269</v>
      </c>
      <c r="AC21" s="30" t="s">
        <v>270</v>
      </c>
      <c r="AD21" s="38">
        <f t="shared" si="0"/>
        <v>1986.36</v>
      </c>
      <c r="AE21" s="38">
        <v>0</v>
      </c>
      <c r="AF21" s="162"/>
      <c r="AG21" s="38">
        <f t="shared" si="1"/>
        <v>0</v>
      </c>
      <c r="AH21" s="38">
        <v>0</v>
      </c>
      <c r="AI21" s="38">
        <v>0</v>
      </c>
      <c r="AJ21" s="38"/>
      <c r="AK21" s="38">
        <v>0</v>
      </c>
      <c r="AL21" s="162">
        <v>1986</v>
      </c>
      <c r="AM21" s="162">
        <v>1986</v>
      </c>
      <c r="AN21" s="292">
        <f t="shared" si="2"/>
        <v>-0.35999999999989996</v>
      </c>
    </row>
    <row r="22" spans="1:40" s="26" customFormat="1" ht="15.75">
      <c r="A22" s="259">
        <v>1601</v>
      </c>
      <c r="B22" s="260" t="s">
        <v>75</v>
      </c>
      <c r="C22" s="197">
        <v>145467</v>
      </c>
      <c r="D22" s="197">
        <v>146232.37</v>
      </c>
      <c r="E22" s="197">
        <v>146789.5</v>
      </c>
      <c r="F22" s="197">
        <v>146812.87</v>
      </c>
      <c r="G22" s="197">
        <v>145635.36</v>
      </c>
      <c r="H22" s="197">
        <v>143982.34</v>
      </c>
      <c r="I22" s="197">
        <v>142865.62</v>
      </c>
      <c r="J22" s="197">
        <v>144699.62</v>
      </c>
      <c r="K22" s="197">
        <v>145170.32</v>
      </c>
      <c r="L22" s="197">
        <v>145170.32</v>
      </c>
      <c r="M22" s="197"/>
      <c r="N22" s="197"/>
      <c r="O22" s="197">
        <v>1452825.32</v>
      </c>
      <c r="P22" s="197">
        <v>1516795.2</v>
      </c>
      <c r="Q22" s="197">
        <v>63969.87999999989</v>
      </c>
      <c r="R22" s="261">
        <v>0.04217436869525951</v>
      </c>
      <c r="S22" s="34"/>
      <c r="T22" s="259">
        <v>1601</v>
      </c>
      <c r="U22" s="260" t="s">
        <v>75</v>
      </c>
      <c r="V22" s="197">
        <v>145170.32</v>
      </c>
      <c r="W22" s="262">
        <v>0.004400476324306919</v>
      </c>
      <c r="X22" s="197">
        <v>151679.51999999996</v>
      </c>
      <c r="Y22" s="277">
        <v>6509.199999999953</v>
      </c>
      <c r="Z22" s="263">
        <v>0.04291416534018538</v>
      </c>
      <c r="AB22" s="259">
        <v>1601</v>
      </c>
      <c r="AC22" s="260" t="s">
        <v>75</v>
      </c>
      <c r="AD22" s="264">
        <f t="shared" si="0"/>
        <v>1452825.32</v>
      </c>
      <c r="AE22" s="264">
        <v>2496560</v>
      </c>
      <c r="AF22" s="265">
        <v>172710</v>
      </c>
      <c r="AG22" s="264">
        <f t="shared" si="1"/>
        <v>2669270</v>
      </c>
      <c r="AH22" s="264">
        <f t="shared" si="3"/>
        <v>880</v>
      </c>
      <c r="AI22" s="264">
        <v>2670150</v>
      </c>
      <c r="AJ22" s="264"/>
      <c r="AK22" s="264">
        <v>2670150</v>
      </c>
      <c r="AL22" s="293"/>
      <c r="AM22" s="293">
        <v>2670150</v>
      </c>
      <c r="AN22" s="294">
        <f t="shared" si="2"/>
        <v>1217324.68</v>
      </c>
    </row>
    <row r="23" spans="1:40" ht="15.75">
      <c r="A23" s="35">
        <v>1602</v>
      </c>
      <c r="B23" s="30" t="s">
        <v>8</v>
      </c>
      <c r="C23" s="16">
        <v>122899</v>
      </c>
      <c r="D23" s="16">
        <v>123379.58</v>
      </c>
      <c r="E23" s="16">
        <v>123771.62</v>
      </c>
      <c r="F23" s="16">
        <v>123787.83</v>
      </c>
      <c r="G23" s="16">
        <v>122958.9</v>
      </c>
      <c r="H23" s="16">
        <v>121792.08</v>
      </c>
      <c r="I23" s="16">
        <v>121036.63</v>
      </c>
      <c r="J23" s="16">
        <v>122356.51</v>
      </c>
      <c r="K23" s="16">
        <v>122690.6</v>
      </c>
      <c r="L23" s="16">
        <v>122690.6</v>
      </c>
      <c r="M23" s="16"/>
      <c r="N23" s="16"/>
      <c r="O23" s="16">
        <v>1227363.35</v>
      </c>
      <c r="P23" s="16">
        <v>1289293.2000000004</v>
      </c>
      <c r="Q23" s="16">
        <v>61929.850000000326</v>
      </c>
      <c r="R23" s="149">
        <v>0.04803395379732112</v>
      </c>
      <c r="S23" s="34"/>
      <c r="T23" s="35">
        <v>1602</v>
      </c>
      <c r="U23" s="30" t="s">
        <v>8</v>
      </c>
      <c r="V23" s="16">
        <v>122690.6</v>
      </c>
      <c r="W23" s="176">
        <v>0.0037190596570635826</v>
      </c>
      <c r="X23" s="16">
        <v>128929.32000000002</v>
      </c>
      <c r="Y23" s="161">
        <v>6238.720000000016</v>
      </c>
      <c r="Z23" s="37">
        <v>0.04838868303966867</v>
      </c>
      <c r="AB23" s="35">
        <v>1602</v>
      </c>
      <c r="AC23" s="30" t="s">
        <v>8</v>
      </c>
      <c r="AD23" s="38">
        <f t="shared" si="0"/>
        <v>1227363.35</v>
      </c>
      <c r="AE23" s="38">
        <v>1542097</v>
      </c>
      <c r="AF23" s="162">
        <v>1642</v>
      </c>
      <c r="AG23" s="38">
        <f t="shared" si="1"/>
        <v>1543739</v>
      </c>
      <c r="AH23" s="38">
        <f t="shared" si="3"/>
        <v>3413</v>
      </c>
      <c r="AI23" s="38">
        <v>1547152</v>
      </c>
      <c r="AJ23" s="38"/>
      <c r="AK23" s="38">
        <v>1547152</v>
      </c>
      <c r="AL23" s="162"/>
      <c r="AM23" s="162">
        <v>1547152</v>
      </c>
      <c r="AN23" s="292">
        <f t="shared" si="2"/>
        <v>319788.6499999999</v>
      </c>
    </row>
    <row r="24" spans="1:40" s="26" customFormat="1" ht="15.75">
      <c r="A24" s="259" t="s">
        <v>226</v>
      </c>
      <c r="B24" s="260" t="s">
        <v>227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>
        <v>0</v>
      </c>
      <c r="P24" s="197">
        <v>416666.6666666667</v>
      </c>
      <c r="Q24" s="197">
        <v>416666.6666666667</v>
      </c>
      <c r="R24" s="261">
        <v>1</v>
      </c>
      <c r="S24" s="34"/>
      <c r="T24" s="259" t="s">
        <v>226</v>
      </c>
      <c r="U24" s="260" t="s">
        <v>227</v>
      </c>
      <c r="V24" s="197">
        <v>0</v>
      </c>
      <c r="W24" s="262">
        <v>0</v>
      </c>
      <c r="X24" s="197">
        <v>41666.666666666664</v>
      </c>
      <c r="Y24" s="197">
        <v>41666.666666666664</v>
      </c>
      <c r="Z24" s="263">
        <v>1</v>
      </c>
      <c r="AB24" s="259" t="s">
        <v>226</v>
      </c>
      <c r="AC24" s="260" t="s">
        <v>254</v>
      </c>
      <c r="AD24" s="264">
        <f t="shared" si="0"/>
        <v>0</v>
      </c>
      <c r="AE24" s="264">
        <v>4500000</v>
      </c>
      <c r="AF24" s="265"/>
      <c r="AG24" s="264">
        <f t="shared" si="1"/>
        <v>4500000</v>
      </c>
      <c r="AH24" s="264">
        <f t="shared" si="3"/>
        <v>-4000000</v>
      </c>
      <c r="AI24" s="264">
        <v>500000</v>
      </c>
      <c r="AJ24" s="264"/>
      <c r="AK24" s="264">
        <v>500000</v>
      </c>
      <c r="AL24" s="293"/>
      <c r="AM24" s="293">
        <v>500000</v>
      </c>
      <c r="AN24" s="294">
        <f t="shared" si="2"/>
        <v>500000</v>
      </c>
    </row>
    <row r="25" spans="1:40" ht="14.25" customHeight="1" hidden="1">
      <c r="A25" s="35"/>
      <c r="B25" s="3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0</v>
      </c>
      <c r="Q25" s="16"/>
      <c r="R25" s="149"/>
      <c r="S25" s="34"/>
      <c r="T25" s="35"/>
      <c r="U25" s="30"/>
      <c r="V25" s="16">
        <v>0</v>
      </c>
      <c r="W25" s="42">
        <v>0</v>
      </c>
      <c r="X25" s="16">
        <v>0</v>
      </c>
      <c r="Y25" s="16"/>
      <c r="Z25" s="37"/>
      <c r="AB25" s="35"/>
      <c r="AC25" s="30"/>
      <c r="AD25" s="38">
        <f>+O25</f>
        <v>0</v>
      </c>
      <c r="AE25" s="38"/>
      <c r="AF25" s="38"/>
      <c r="AG25" s="38"/>
      <c r="AH25" s="38"/>
      <c r="AI25" s="38"/>
      <c r="AJ25" s="38"/>
      <c r="AK25" s="38"/>
      <c r="AL25" s="162"/>
      <c r="AM25" s="162"/>
      <c r="AN25" s="292">
        <f t="shared" si="2"/>
        <v>0</v>
      </c>
    </row>
    <row r="26" spans="1:40" ht="18" thickBot="1">
      <c r="A26" s="266">
        <v>1000</v>
      </c>
      <c r="B26" s="267" t="s">
        <v>9</v>
      </c>
      <c r="C26" s="268">
        <f>SUM(C6:C25)</f>
        <v>15370128.51</v>
      </c>
      <c r="D26" s="268">
        <f aca="true" t="shared" si="4" ref="D26:K26">SUM(D6:D24)</f>
        <v>27818971.06</v>
      </c>
      <c r="E26" s="268">
        <f t="shared" si="4"/>
        <v>35652506.71999999</v>
      </c>
      <c r="F26" s="268">
        <f t="shared" si="4"/>
        <v>34657875.95999999</v>
      </c>
      <c r="G26" s="268">
        <f t="shared" si="4"/>
        <v>35621026.75999999</v>
      </c>
      <c r="H26" s="268">
        <f t="shared" si="4"/>
        <v>47651199.27</v>
      </c>
      <c r="I26" s="268">
        <v>61866123.10999999</v>
      </c>
      <c r="J26" s="268">
        <f>SUM(J6:J24)</f>
        <v>16566741.100000001</v>
      </c>
      <c r="K26" s="268">
        <f t="shared" si="4"/>
        <v>15182076</v>
      </c>
      <c r="L26" s="268">
        <v>13031816.759999998</v>
      </c>
      <c r="M26" s="268">
        <v>0</v>
      </c>
      <c r="N26" s="268">
        <v>0</v>
      </c>
      <c r="O26" s="268">
        <v>303418464.78999996</v>
      </c>
      <c r="P26" s="268">
        <v>305286070.60901886</v>
      </c>
      <c r="Q26" s="268">
        <v>1867605.8190188599</v>
      </c>
      <c r="R26" s="269">
        <v>0.006117559885038811</v>
      </c>
      <c r="S26" s="46"/>
      <c r="T26" s="266">
        <v>1000</v>
      </c>
      <c r="U26" s="267" t="s">
        <v>9</v>
      </c>
      <c r="V26" s="268">
        <v>13031816.759999998</v>
      </c>
      <c r="W26" s="270">
        <v>0.3950270352444363</v>
      </c>
      <c r="X26" s="268">
        <v>11216601.367400842</v>
      </c>
      <c r="Y26" s="268">
        <v>-1815215.3925991552</v>
      </c>
      <c r="Z26" s="271">
        <v>-0.16183292364073598</v>
      </c>
      <c r="AB26" s="266">
        <v>1000</v>
      </c>
      <c r="AC26" s="267" t="s">
        <v>9</v>
      </c>
      <c r="AD26" s="268">
        <f aca="true" t="shared" si="5" ref="AD26:AI26">SUM(AD6:AD25)</f>
        <v>303418464.78999996</v>
      </c>
      <c r="AE26" s="268">
        <f t="shared" si="5"/>
        <v>437704019</v>
      </c>
      <c r="AF26" s="272">
        <f t="shared" si="5"/>
        <v>-68358048</v>
      </c>
      <c r="AG26" s="268">
        <f t="shared" si="5"/>
        <v>369345971</v>
      </c>
      <c r="AH26" s="273">
        <f t="shared" si="5"/>
        <v>-3605265</v>
      </c>
      <c r="AI26" s="268">
        <f t="shared" si="5"/>
        <v>365740706</v>
      </c>
      <c r="AJ26" s="268">
        <v>0</v>
      </c>
      <c r="AK26" s="268">
        <v>365740706</v>
      </c>
      <c r="AL26" s="295">
        <v>-19475000</v>
      </c>
      <c r="AM26" s="285">
        <v>346265706</v>
      </c>
      <c r="AN26" s="296">
        <f>SUM(AN6:AN25)</f>
        <v>42847241.209999986</v>
      </c>
    </row>
    <row r="27" spans="1:40" ht="14.25" customHeight="1" hidden="1" thickBot="1" thickTop="1">
      <c r="A27" s="131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51"/>
      <c r="S27" s="46"/>
      <c r="T27" s="131"/>
      <c r="U27" s="132"/>
      <c r="V27" s="133"/>
      <c r="W27" s="134"/>
      <c r="X27" s="133"/>
      <c r="Y27" s="135"/>
      <c r="Z27" s="136"/>
      <c r="AB27" s="131"/>
      <c r="AC27" s="132"/>
      <c r="AD27" s="133"/>
      <c r="AE27" s="133"/>
      <c r="AF27" s="133"/>
      <c r="AG27" s="133"/>
      <c r="AH27" s="133"/>
      <c r="AI27" s="133"/>
      <c r="AJ27" s="133"/>
      <c r="AK27" s="133"/>
      <c r="AL27" s="297"/>
      <c r="AM27" s="297"/>
      <c r="AN27" s="298"/>
    </row>
    <row r="28" spans="1:40" s="26" customFormat="1" ht="16.5" thickTop="1">
      <c r="A28" s="259">
        <v>2101</v>
      </c>
      <c r="B28" s="260" t="s">
        <v>10</v>
      </c>
      <c r="C28" s="197">
        <v>225029.55</v>
      </c>
      <c r="D28" s="197">
        <v>228452.26</v>
      </c>
      <c r="E28" s="197">
        <v>923621.4</v>
      </c>
      <c r="F28" s="197">
        <v>30628460.09</v>
      </c>
      <c r="G28" s="197">
        <v>1002535.01</v>
      </c>
      <c r="H28" s="197">
        <v>32525164.62</v>
      </c>
      <c r="I28" s="197">
        <v>617381.52</v>
      </c>
      <c r="J28" s="197">
        <v>71615.91</v>
      </c>
      <c r="K28" s="197">
        <v>21765.5</v>
      </c>
      <c r="L28" s="197">
        <v>17654.59</v>
      </c>
      <c r="M28" s="197"/>
      <c r="N28" s="197"/>
      <c r="O28" s="197">
        <v>66261680.45000001</v>
      </c>
      <c r="P28" s="197">
        <v>66071520</v>
      </c>
      <c r="Q28" s="197">
        <v>-190160.45000001043</v>
      </c>
      <c r="R28" s="261">
        <v>-0.002878100125439984</v>
      </c>
      <c r="S28" s="34"/>
      <c r="T28" s="259">
        <v>2101</v>
      </c>
      <c r="U28" s="260" t="s">
        <v>10</v>
      </c>
      <c r="V28" s="197">
        <v>17654.59</v>
      </c>
      <c r="W28" s="262">
        <v>0.0005351548809036565</v>
      </c>
      <c r="X28" s="197">
        <v>296555</v>
      </c>
      <c r="Y28" s="277">
        <v>278900.41</v>
      </c>
      <c r="Z28" s="263">
        <v>0.940467737856384</v>
      </c>
      <c r="AB28" s="259">
        <v>2101</v>
      </c>
      <c r="AC28" s="260" t="s">
        <v>10</v>
      </c>
      <c r="AD28" s="264">
        <f>+O28</f>
        <v>66261680.45000001</v>
      </c>
      <c r="AE28" s="264">
        <v>4198406</v>
      </c>
      <c r="AF28" s="265">
        <v>36184297</v>
      </c>
      <c r="AG28" s="264">
        <f>AE28+AF28</f>
        <v>40382703</v>
      </c>
      <c r="AH28" s="264">
        <f aca="true" t="shared" si="6" ref="AH28:AH41">AI28-AG28</f>
        <v>27581926</v>
      </c>
      <c r="AI28" s="264">
        <v>67964629</v>
      </c>
      <c r="AJ28" s="264"/>
      <c r="AK28" s="264">
        <v>67964629</v>
      </c>
      <c r="AL28" s="293">
        <v>-1300000</v>
      </c>
      <c r="AM28" s="293">
        <v>66664629</v>
      </c>
      <c r="AN28" s="294">
        <f aca="true" t="shared" si="7" ref="AN28:AN41">AM28-AD28</f>
        <v>402948.54999998957</v>
      </c>
    </row>
    <row r="29" spans="1:40" ht="15.75">
      <c r="A29" s="48">
        <v>2102</v>
      </c>
      <c r="B29" s="31" t="s">
        <v>11</v>
      </c>
      <c r="C29" s="5">
        <v>39302.23</v>
      </c>
      <c r="D29" s="5">
        <v>26425.36</v>
      </c>
      <c r="E29" s="5">
        <v>77770.21</v>
      </c>
      <c r="F29" s="5">
        <v>21810.49</v>
      </c>
      <c r="G29" s="5">
        <v>90556.53</v>
      </c>
      <c r="H29" s="5">
        <v>28009.63</v>
      </c>
      <c r="I29" s="5">
        <v>71151.32</v>
      </c>
      <c r="J29" s="5">
        <v>35451.62</v>
      </c>
      <c r="K29" s="5">
        <v>26877.33</v>
      </c>
      <c r="L29" s="5">
        <v>5875.67</v>
      </c>
      <c r="M29" s="5"/>
      <c r="N29" s="5"/>
      <c r="O29" s="5">
        <v>423230.38999999996</v>
      </c>
      <c r="P29" s="5">
        <v>337340</v>
      </c>
      <c r="Q29" s="16">
        <v>-85890.38999999996</v>
      </c>
      <c r="R29" s="149">
        <v>-0.2546107487994307</v>
      </c>
      <c r="S29" s="34"/>
      <c r="T29" s="48">
        <v>2102</v>
      </c>
      <c r="U29" s="31" t="s">
        <v>11</v>
      </c>
      <c r="V29" s="5">
        <v>5875.67</v>
      </c>
      <c r="W29" s="174">
        <v>0.00017810628732126813</v>
      </c>
      <c r="X29" s="5">
        <v>33734</v>
      </c>
      <c r="Y29" s="161">
        <v>27858.33</v>
      </c>
      <c r="Z29" s="37">
        <v>0.8258235015118279</v>
      </c>
      <c r="AB29" s="48">
        <v>2102</v>
      </c>
      <c r="AC29" s="31" t="s">
        <v>11</v>
      </c>
      <c r="AD29" s="5">
        <f aca="true" t="shared" si="8" ref="AD29:AD41">+O29</f>
        <v>423230.38999999996</v>
      </c>
      <c r="AE29" s="5">
        <v>404812</v>
      </c>
      <c r="AF29" s="163"/>
      <c r="AG29" s="5">
        <f aca="true" t="shared" si="9" ref="AG29:AG41">AE29+AF29</f>
        <v>404812</v>
      </c>
      <c r="AH29" s="5">
        <f t="shared" si="6"/>
        <v>0</v>
      </c>
      <c r="AI29" s="5">
        <v>404812</v>
      </c>
      <c r="AJ29" s="5"/>
      <c r="AK29" s="5">
        <v>404812</v>
      </c>
      <c r="AL29" s="163"/>
      <c r="AM29" s="163">
        <v>404812</v>
      </c>
      <c r="AN29" s="299">
        <f t="shared" si="7"/>
        <v>-18418.389999999956</v>
      </c>
    </row>
    <row r="30" spans="1:40" s="26" customFormat="1" ht="15.75">
      <c r="A30" s="259">
        <v>2103</v>
      </c>
      <c r="B30" s="260" t="s">
        <v>71</v>
      </c>
      <c r="C30" s="197">
        <v>6470.2</v>
      </c>
      <c r="D30" s="197">
        <v>1023.8</v>
      </c>
      <c r="E30" s="197">
        <v>3459.33</v>
      </c>
      <c r="F30" s="197">
        <v>1237</v>
      </c>
      <c r="G30" s="197">
        <v>30477.84</v>
      </c>
      <c r="H30" s="197">
        <v>31409.5</v>
      </c>
      <c r="I30" s="197">
        <v>7362.23</v>
      </c>
      <c r="J30" s="197">
        <v>607.69</v>
      </c>
      <c r="K30" s="197">
        <v>13077.55</v>
      </c>
      <c r="L30" s="197">
        <v>2114.8</v>
      </c>
      <c r="M30" s="197"/>
      <c r="N30" s="197"/>
      <c r="O30" s="197">
        <v>97239.94</v>
      </c>
      <c r="P30" s="197">
        <v>186998</v>
      </c>
      <c r="Q30" s="197">
        <v>89758.06</v>
      </c>
      <c r="R30" s="261">
        <v>0.4799947593022385</v>
      </c>
      <c r="S30" s="34"/>
      <c r="T30" s="259">
        <v>2103</v>
      </c>
      <c r="U30" s="260" t="s">
        <v>71</v>
      </c>
      <c r="V30" s="197">
        <v>2114.8</v>
      </c>
      <c r="W30" s="262">
        <v>6.410488955761944E-05</v>
      </c>
      <c r="X30" s="197">
        <v>8500</v>
      </c>
      <c r="Y30" s="277">
        <v>6385.2</v>
      </c>
      <c r="Z30" s="263">
        <v>0.7512</v>
      </c>
      <c r="AB30" s="259">
        <v>2103</v>
      </c>
      <c r="AC30" s="260" t="s">
        <v>71</v>
      </c>
      <c r="AD30" s="264">
        <f t="shared" si="8"/>
        <v>97239.94</v>
      </c>
      <c r="AE30" s="264">
        <v>203000</v>
      </c>
      <c r="AF30" s="265"/>
      <c r="AG30" s="264">
        <f t="shared" si="9"/>
        <v>203000</v>
      </c>
      <c r="AH30" s="264">
        <f t="shared" si="6"/>
        <v>0</v>
      </c>
      <c r="AI30" s="264">
        <v>203000</v>
      </c>
      <c r="AJ30" s="264"/>
      <c r="AK30" s="264">
        <v>203000</v>
      </c>
      <c r="AL30" s="293"/>
      <c r="AM30" s="293">
        <v>203000</v>
      </c>
      <c r="AN30" s="294">
        <f t="shared" si="7"/>
        <v>105760.06</v>
      </c>
    </row>
    <row r="31" spans="1:40" ht="15.75">
      <c r="A31" s="35">
        <v>2105</v>
      </c>
      <c r="B31" s="30" t="s">
        <v>208</v>
      </c>
      <c r="C31" s="16"/>
      <c r="D31" s="16">
        <v>0</v>
      </c>
      <c r="E31" s="16"/>
      <c r="F31" s="16">
        <v>50353.28</v>
      </c>
      <c r="G31" s="16"/>
      <c r="H31" s="16"/>
      <c r="I31" s="16">
        <v>14</v>
      </c>
      <c r="J31" s="16">
        <v>400.01</v>
      </c>
      <c r="K31" s="16"/>
      <c r="L31" s="16"/>
      <c r="M31" s="16"/>
      <c r="N31" s="16"/>
      <c r="O31" s="16">
        <v>50767.29</v>
      </c>
      <c r="P31" s="16">
        <v>389274</v>
      </c>
      <c r="Q31" s="16">
        <v>338506.71</v>
      </c>
      <c r="R31" s="149">
        <v>0.8695846884199818</v>
      </c>
      <c r="S31" s="34"/>
      <c r="T31" s="35">
        <v>2105</v>
      </c>
      <c r="U31" s="30" t="s">
        <v>208</v>
      </c>
      <c r="V31" s="16">
        <v>0</v>
      </c>
      <c r="W31" s="175">
        <v>0</v>
      </c>
      <c r="X31" s="16">
        <v>9148</v>
      </c>
      <c r="Y31" s="16">
        <v>9148</v>
      </c>
      <c r="Z31" s="37">
        <v>1</v>
      </c>
      <c r="AB31" s="35">
        <v>2105</v>
      </c>
      <c r="AC31" s="30" t="s">
        <v>208</v>
      </c>
      <c r="AD31" s="16">
        <f t="shared" si="8"/>
        <v>50767.29</v>
      </c>
      <c r="AE31" s="16">
        <v>109781</v>
      </c>
      <c r="AF31" s="165">
        <v>1947794</v>
      </c>
      <c r="AG31" s="16">
        <f t="shared" si="9"/>
        <v>2057575</v>
      </c>
      <c r="AH31" s="16">
        <f t="shared" si="6"/>
        <v>0</v>
      </c>
      <c r="AI31" s="16">
        <v>2057575</v>
      </c>
      <c r="AJ31" s="16"/>
      <c r="AK31" s="16">
        <v>2057575</v>
      </c>
      <c r="AL31" s="165">
        <v>-1650000</v>
      </c>
      <c r="AM31" s="165">
        <v>407575</v>
      </c>
      <c r="AN31" s="300">
        <f t="shared" si="7"/>
        <v>356807.71</v>
      </c>
    </row>
    <row r="32" spans="1:40" s="26" customFormat="1" ht="15.75">
      <c r="A32" s="259">
        <v>2106</v>
      </c>
      <c r="B32" s="260" t="s">
        <v>209</v>
      </c>
      <c r="C32" s="197">
        <v>23791.76</v>
      </c>
      <c r="D32" s="197">
        <v>118101.25</v>
      </c>
      <c r="E32" s="197">
        <v>415992.46</v>
      </c>
      <c r="F32" s="197">
        <v>605594.69</v>
      </c>
      <c r="G32" s="197">
        <v>220374.49</v>
      </c>
      <c r="H32" s="197">
        <v>167387.24</v>
      </c>
      <c r="I32" s="197">
        <v>362174.22</v>
      </c>
      <c r="J32" s="197">
        <v>16731.14</v>
      </c>
      <c r="K32" s="197">
        <v>39012.06</v>
      </c>
      <c r="L32" s="197">
        <v>12362.52</v>
      </c>
      <c r="M32" s="197"/>
      <c r="N32" s="197"/>
      <c r="O32" s="197">
        <v>1981521.8299999998</v>
      </c>
      <c r="P32" s="197">
        <v>1967308</v>
      </c>
      <c r="Q32" s="197">
        <v>-14213.829999999842</v>
      </c>
      <c r="R32" s="261">
        <v>-0.007225015096771752</v>
      </c>
      <c r="S32" s="34"/>
      <c r="T32" s="259">
        <v>2106</v>
      </c>
      <c r="U32" s="260" t="s">
        <v>209</v>
      </c>
      <c r="V32" s="197">
        <v>12362.52</v>
      </c>
      <c r="W32" s="262">
        <v>0.00037473897259970753</v>
      </c>
      <c r="X32" s="197">
        <v>182731</v>
      </c>
      <c r="Y32" s="277">
        <v>170368.48</v>
      </c>
      <c r="Z32" s="263">
        <v>0.932345797921535</v>
      </c>
      <c r="AB32" s="259">
        <v>2106</v>
      </c>
      <c r="AC32" s="260" t="s">
        <v>231</v>
      </c>
      <c r="AD32" s="264">
        <f t="shared" si="8"/>
        <v>1981521.8299999998</v>
      </c>
      <c r="AE32" s="264">
        <v>2332767</v>
      </c>
      <c r="AF32" s="265"/>
      <c r="AG32" s="264">
        <f t="shared" si="9"/>
        <v>2332767</v>
      </c>
      <c r="AH32" s="264">
        <f t="shared" si="6"/>
        <v>0</v>
      </c>
      <c r="AI32" s="264">
        <v>2332767</v>
      </c>
      <c r="AJ32" s="264"/>
      <c r="AK32" s="264">
        <v>2332767</v>
      </c>
      <c r="AL32" s="293"/>
      <c r="AM32" s="293">
        <v>2332767</v>
      </c>
      <c r="AN32" s="294">
        <f t="shared" si="7"/>
        <v>351245.17000000016</v>
      </c>
    </row>
    <row r="33" spans="1:40" ht="15.75">
      <c r="A33" s="35">
        <v>2201</v>
      </c>
      <c r="B33" s="30" t="s">
        <v>12</v>
      </c>
      <c r="C33" s="16">
        <v>229456.93</v>
      </c>
      <c r="D33" s="16">
        <v>295669.54</v>
      </c>
      <c r="E33" s="16">
        <v>448655.23</v>
      </c>
      <c r="F33" s="16">
        <v>475543.73</v>
      </c>
      <c r="G33" s="16">
        <v>597160.37</v>
      </c>
      <c r="H33" s="16">
        <v>906745.51</v>
      </c>
      <c r="I33" s="16">
        <v>1364915.64</v>
      </c>
      <c r="J33" s="16">
        <v>1777371.31</v>
      </c>
      <c r="K33" s="16">
        <v>450356.51</v>
      </c>
      <c r="L33" s="16">
        <v>401419.49</v>
      </c>
      <c r="M33" s="16"/>
      <c r="N33" s="16"/>
      <c r="O33" s="16">
        <v>6947294.26</v>
      </c>
      <c r="P33" s="16">
        <v>5503892</v>
      </c>
      <c r="Q33" s="16">
        <v>-1443402.2599999998</v>
      </c>
      <c r="R33" s="149">
        <v>-0.2622511960627134</v>
      </c>
      <c r="S33" s="34"/>
      <c r="T33" s="35">
        <v>2201</v>
      </c>
      <c r="U33" s="30" t="s">
        <v>12</v>
      </c>
      <c r="V33" s="16">
        <v>401419.49</v>
      </c>
      <c r="W33" s="175">
        <v>0.012168031053870779</v>
      </c>
      <c r="X33" s="16">
        <v>399442</v>
      </c>
      <c r="Y33" s="161">
        <v>-1977.4899999999907</v>
      </c>
      <c r="Z33" s="37">
        <v>-0.004950631130426922</v>
      </c>
      <c r="AB33" s="35">
        <v>2201</v>
      </c>
      <c r="AC33" s="30" t="s">
        <v>12</v>
      </c>
      <c r="AD33" s="16">
        <f t="shared" si="8"/>
        <v>6947294.26</v>
      </c>
      <c r="AE33" s="16">
        <v>6300606</v>
      </c>
      <c r="AF33" s="165">
        <v>-1055</v>
      </c>
      <c r="AG33" s="16">
        <f t="shared" si="9"/>
        <v>6299551</v>
      </c>
      <c r="AH33" s="16">
        <f t="shared" si="6"/>
        <v>5</v>
      </c>
      <c r="AI33" s="16">
        <v>6299556</v>
      </c>
      <c r="AJ33" s="16"/>
      <c r="AK33" s="16">
        <v>6299556</v>
      </c>
      <c r="AL33" s="165"/>
      <c r="AM33" s="165">
        <v>6299556</v>
      </c>
      <c r="AN33" s="300">
        <f t="shared" si="7"/>
        <v>-647738.2599999998</v>
      </c>
    </row>
    <row r="34" spans="1:40" s="26" customFormat="1" ht="15.75">
      <c r="A34" s="259">
        <v>2204</v>
      </c>
      <c r="B34" s="260" t="s">
        <v>72</v>
      </c>
      <c r="C34" s="197">
        <v>24655.16</v>
      </c>
      <c r="D34" s="197">
        <v>13596.19</v>
      </c>
      <c r="E34" s="197">
        <v>-2194.52</v>
      </c>
      <c r="F34" s="197">
        <v>10452.75</v>
      </c>
      <c r="G34" s="197">
        <v>11844.54</v>
      </c>
      <c r="H34" s="197">
        <v>13150.62</v>
      </c>
      <c r="I34" s="197">
        <v>26458.43</v>
      </c>
      <c r="J34" s="197">
        <v>14486.18</v>
      </c>
      <c r="K34" s="197">
        <v>13961.97</v>
      </c>
      <c r="L34" s="197">
        <v>9302.53</v>
      </c>
      <c r="M34" s="197"/>
      <c r="N34" s="197"/>
      <c r="O34" s="197">
        <v>135713.85</v>
      </c>
      <c r="P34" s="197">
        <v>125001</v>
      </c>
      <c r="Q34" s="197">
        <v>-10712.850000000006</v>
      </c>
      <c r="R34" s="261">
        <v>-0.08570211438308498</v>
      </c>
      <c r="S34" s="34"/>
      <c r="T34" s="259">
        <v>2204</v>
      </c>
      <c r="U34" s="260" t="s">
        <v>72</v>
      </c>
      <c r="V34" s="197">
        <v>9302.53</v>
      </c>
      <c r="W34" s="262">
        <v>0.0002819830046606968</v>
      </c>
      <c r="X34" s="197">
        <v>0</v>
      </c>
      <c r="Y34" s="277">
        <v>-9302.53</v>
      </c>
      <c r="Z34" s="263"/>
      <c r="AB34" s="259">
        <v>2204</v>
      </c>
      <c r="AC34" s="260" t="s">
        <v>72</v>
      </c>
      <c r="AD34" s="264">
        <f t="shared" si="8"/>
        <v>135713.85</v>
      </c>
      <c r="AE34" s="264">
        <v>125000</v>
      </c>
      <c r="AF34" s="265"/>
      <c r="AG34" s="264">
        <f t="shared" si="9"/>
        <v>125000</v>
      </c>
      <c r="AH34" s="264">
        <f t="shared" si="6"/>
        <v>0</v>
      </c>
      <c r="AI34" s="264">
        <v>125000</v>
      </c>
      <c r="AJ34" s="264"/>
      <c r="AK34" s="264">
        <v>125000</v>
      </c>
      <c r="AL34" s="293"/>
      <c r="AM34" s="293">
        <v>125000</v>
      </c>
      <c r="AN34" s="294">
        <f t="shared" si="7"/>
        <v>-10713.850000000006</v>
      </c>
    </row>
    <row r="35" spans="1:40" ht="15.75">
      <c r="A35" s="35">
        <v>2302</v>
      </c>
      <c r="B35" s="30" t="s">
        <v>13</v>
      </c>
      <c r="C35" s="16">
        <v>32234.14</v>
      </c>
      <c r="D35" s="16">
        <v>13924.52</v>
      </c>
      <c r="E35" s="16">
        <v>122330.34</v>
      </c>
      <c r="F35" s="16">
        <v>59597.82</v>
      </c>
      <c r="G35" s="16">
        <v>44998.37</v>
      </c>
      <c r="H35" s="16">
        <v>117895.48</v>
      </c>
      <c r="I35" s="16">
        <v>157056.13</v>
      </c>
      <c r="J35" s="16">
        <v>49143.87</v>
      </c>
      <c r="K35" s="16">
        <v>8193.31</v>
      </c>
      <c r="L35" s="16">
        <v>22655.63</v>
      </c>
      <c r="M35" s="16"/>
      <c r="N35" s="16"/>
      <c r="O35" s="16">
        <v>628029.6100000001</v>
      </c>
      <c r="P35" s="16">
        <v>600000</v>
      </c>
      <c r="Q35" s="16">
        <v>-28029.610000000102</v>
      </c>
      <c r="R35" s="149">
        <v>-0.04671601666666684</v>
      </c>
      <c r="S35" s="34"/>
      <c r="T35" s="35">
        <v>2302</v>
      </c>
      <c r="U35" s="30" t="s">
        <v>13</v>
      </c>
      <c r="V35" s="16">
        <v>22655.63</v>
      </c>
      <c r="W35" s="175">
        <v>0.0006867489403292462</v>
      </c>
      <c r="X35" s="16">
        <v>0</v>
      </c>
      <c r="Y35" s="161">
        <v>-22655.63</v>
      </c>
      <c r="Z35" s="37"/>
      <c r="AB35" s="35">
        <v>2302</v>
      </c>
      <c r="AC35" s="30" t="s">
        <v>13</v>
      </c>
      <c r="AD35" s="16">
        <f t="shared" si="8"/>
        <v>628029.6100000001</v>
      </c>
      <c r="AE35" s="16">
        <v>600000</v>
      </c>
      <c r="AF35" s="165"/>
      <c r="AG35" s="16">
        <f t="shared" si="9"/>
        <v>600000</v>
      </c>
      <c r="AH35" s="16">
        <f t="shared" si="6"/>
        <v>0</v>
      </c>
      <c r="AI35" s="16">
        <v>600000</v>
      </c>
      <c r="AJ35" s="16"/>
      <c r="AK35" s="16">
        <v>600000</v>
      </c>
      <c r="AL35" s="165"/>
      <c r="AM35" s="165">
        <v>600000</v>
      </c>
      <c r="AN35" s="300">
        <f t="shared" si="7"/>
        <v>-28029.610000000102</v>
      </c>
    </row>
    <row r="36" spans="1:40" s="26" customFormat="1" ht="15.75">
      <c r="A36" s="259">
        <v>2402</v>
      </c>
      <c r="B36" s="260" t="s">
        <v>179</v>
      </c>
      <c r="C36" s="197">
        <v>35239.97</v>
      </c>
      <c r="D36" s="197">
        <v>36017.16</v>
      </c>
      <c r="E36" s="197">
        <v>19625.15</v>
      </c>
      <c r="F36" s="197">
        <v>98208.44</v>
      </c>
      <c r="G36" s="197">
        <v>13747.96</v>
      </c>
      <c r="H36" s="197">
        <v>188343.2</v>
      </c>
      <c r="I36" s="197">
        <v>131414.88</v>
      </c>
      <c r="J36" s="197">
        <v>37178.69</v>
      </c>
      <c r="K36" s="197">
        <v>6718.66</v>
      </c>
      <c r="L36" s="197">
        <v>2991.96</v>
      </c>
      <c r="M36" s="197"/>
      <c r="N36" s="197"/>
      <c r="O36" s="197">
        <v>569486.07</v>
      </c>
      <c r="P36" s="197">
        <v>809332</v>
      </c>
      <c r="Q36" s="197">
        <v>239845.93000000005</v>
      </c>
      <c r="R36" s="261">
        <v>0.2963504841029393</v>
      </c>
      <c r="S36" s="34"/>
      <c r="T36" s="259">
        <v>2402</v>
      </c>
      <c r="U36" s="260" t="s">
        <v>179</v>
      </c>
      <c r="V36" s="197">
        <v>2991.96</v>
      </c>
      <c r="W36" s="262">
        <v>9.069380809571358E-05</v>
      </c>
      <c r="X36" s="197">
        <v>3335</v>
      </c>
      <c r="Y36" s="277">
        <v>343.03999999999996</v>
      </c>
      <c r="Z36" s="263">
        <v>0.10286056971514242</v>
      </c>
      <c r="AB36" s="259" t="s">
        <v>178</v>
      </c>
      <c r="AC36" s="260" t="s">
        <v>179</v>
      </c>
      <c r="AD36" s="264">
        <f t="shared" si="8"/>
        <v>569486.07</v>
      </c>
      <c r="AE36" s="264">
        <v>316000</v>
      </c>
      <c r="AF36" s="265"/>
      <c r="AG36" s="264">
        <f t="shared" si="9"/>
        <v>316000</v>
      </c>
      <c r="AH36" s="264">
        <f t="shared" si="6"/>
        <v>0</v>
      </c>
      <c r="AI36" s="264">
        <v>316000</v>
      </c>
      <c r="AJ36" s="264"/>
      <c r="AK36" s="264">
        <v>316000</v>
      </c>
      <c r="AL36" s="293">
        <v>500000</v>
      </c>
      <c r="AM36" s="293">
        <v>816000</v>
      </c>
      <c r="AN36" s="294">
        <f t="shared" si="7"/>
        <v>246513.93000000005</v>
      </c>
    </row>
    <row r="37" spans="1:40" ht="15.75">
      <c r="A37" s="35">
        <v>2404</v>
      </c>
      <c r="B37" s="30" t="s">
        <v>73</v>
      </c>
      <c r="C37" s="16">
        <v>3210.75</v>
      </c>
      <c r="D37" s="16">
        <v>12891.27</v>
      </c>
      <c r="E37" s="16">
        <v>25874.82</v>
      </c>
      <c r="F37" s="16">
        <v>51158.19</v>
      </c>
      <c r="G37" s="16">
        <v>33798.81</v>
      </c>
      <c r="H37" s="16">
        <v>52782.38</v>
      </c>
      <c r="I37" s="16">
        <v>72591.93</v>
      </c>
      <c r="J37" s="16">
        <v>24080.94</v>
      </c>
      <c r="K37" s="16">
        <v>544.41</v>
      </c>
      <c r="L37" s="16">
        <v>666.5</v>
      </c>
      <c r="M37" s="16"/>
      <c r="N37" s="16"/>
      <c r="O37" s="16">
        <v>277599.99999999994</v>
      </c>
      <c r="P37" s="16">
        <v>328130</v>
      </c>
      <c r="Q37" s="16">
        <v>50530.00000000006</v>
      </c>
      <c r="R37" s="149">
        <v>0.15399384390333118</v>
      </c>
      <c r="S37" s="34"/>
      <c r="T37" s="35">
        <v>2404</v>
      </c>
      <c r="U37" s="30" t="s">
        <v>73</v>
      </c>
      <c r="V37" s="16">
        <v>666.5</v>
      </c>
      <c r="W37" s="175">
        <v>2.020328583797681E-05</v>
      </c>
      <c r="X37" s="16">
        <v>12263</v>
      </c>
      <c r="Y37" s="161">
        <v>11596.5</v>
      </c>
      <c r="Z37" s="37">
        <v>0.9456495148006198</v>
      </c>
      <c r="AB37" s="35">
        <v>2404</v>
      </c>
      <c r="AC37" s="30" t="s">
        <v>73</v>
      </c>
      <c r="AD37" s="16">
        <f t="shared" si="8"/>
        <v>277599.99999999994</v>
      </c>
      <c r="AE37" s="16">
        <v>152659</v>
      </c>
      <c r="AF37" s="165"/>
      <c r="AG37" s="16">
        <f t="shared" si="9"/>
        <v>152659</v>
      </c>
      <c r="AH37" s="16">
        <f t="shared" si="6"/>
        <v>0</v>
      </c>
      <c r="AI37" s="16">
        <v>152659</v>
      </c>
      <c r="AJ37" s="16"/>
      <c r="AK37" s="16">
        <v>152659</v>
      </c>
      <c r="AL37" s="165">
        <v>200000</v>
      </c>
      <c r="AM37" s="165">
        <v>352659</v>
      </c>
      <c r="AN37" s="300">
        <f t="shared" si="7"/>
        <v>75059.00000000006</v>
      </c>
    </row>
    <row r="38" spans="1:40" s="26" customFormat="1" ht="15.75">
      <c r="A38" s="259" t="s">
        <v>238</v>
      </c>
      <c r="B38" s="260" t="s">
        <v>240</v>
      </c>
      <c r="C38" s="197">
        <v>7872</v>
      </c>
      <c r="D38" s="197"/>
      <c r="E38" s="197">
        <v>191.3</v>
      </c>
      <c r="F38" s="197">
        <v>2961.38</v>
      </c>
      <c r="G38" s="197">
        <v>1943.11</v>
      </c>
      <c r="H38" s="197">
        <v>1143.04</v>
      </c>
      <c r="I38" s="197">
        <v>2532.33</v>
      </c>
      <c r="J38" s="197">
        <v>1444.27</v>
      </c>
      <c r="K38" s="197">
        <v>1690.99</v>
      </c>
      <c r="L38" s="197"/>
      <c r="M38" s="197"/>
      <c r="N38" s="197"/>
      <c r="O38" s="197">
        <v>19778.420000000006</v>
      </c>
      <c r="P38" s="197">
        <v>58334</v>
      </c>
      <c r="Q38" s="197">
        <v>38555.579999999994</v>
      </c>
      <c r="R38" s="261">
        <v>0.6609452463400417</v>
      </c>
      <c r="S38" s="34"/>
      <c r="T38" s="259" t="s">
        <v>238</v>
      </c>
      <c r="U38" s="260" t="s">
        <v>240</v>
      </c>
      <c r="V38" s="197">
        <v>0</v>
      </c>
      <c r="W38" s="262">
        <v>0</v>
      </c>
      <c r="X38" s="197">
        <v>833</v>
      </c>
      <c r="Y38" s="277">
        <v>833</v>
      </c>
      <c r="Z38" s="263">
        <v>1</v>
      </c>
      <c r="AB38" s="259" t="s">
        <v>238</v>
      </c>
      <c r="AC38" s="260" t="s">
        <v>240</v>
      </c>
      <c r="AD38" s="264">
        <f t="shared" si="8"/>
        <v>19778.420000000006</v>
      </c>
      <c r="AE38" s="264">
        <v>60000</v>
      </c>
      <c r="AF38" s="265"/>
      <c r="AG38" s="264">
        <f t="shared" si="9"/>
        <v>60000</v>
      </c>
      <c r="AH38" s="264">
        <f t="shared" si="6"/>
        <v>0</v>
      </c>
      <c r="AI38" s="264">
        <v>60000</v>
      </c>
      <c r="AJ38" s="264"/>
      <c r="AK38" s="264">
        <v>60000</v>
      </c>
      <c r="AL38" s="293"/>
      <c r="AM38" s="293">
        <v>60000</v>
      </c>
      <c r="AN38" s="294">
        <f t="shared" si="7"/>
        <v>40221.579999999994</v>
      </c>
    </row>
    <row r="39" spans="1:40" ht="15.75">
      <c r="A39" s="35" t="s">
        <v>259</v>
      </c>
      <c r="B39" s="30" t="s">
        <v>260</v>
      </c>
      <c r="C39" s="16"/>
      <c r="D39" s="16"/>
      <c r="E39" s="16"/>
      <c r="F39" s="16"/>
      <c r="G39" s="16"/>
      <c r="H39" s="16"/>
      <c r="I39" s="16">
        <v>309.04</v>
      </c>
      <c r="J39" s="16">
        <v>323.9</v>
      </c>
      <c r="K39" s="16">
        <v>39.89</v>
      </c>
      <c r="L39" s="16"/>
      <c r="M39" s="16"/>
      <c r="N39" s="16"/>
      <c r="O39" s="16">
        <v>672.83</v>
      </c>
      <c r="P39" s="16">
        <v>8334</v>
      </c>
      <c r="Q39" s="16">
        <v>7661.17</v>
      </c>
      <c r="R39" s="149">
        <v>0.9192668586513079</v>
      </c>
      <c r="S39" s="34"/>
      <c r="T39" s="35" t="s">
        <v>259</v>
      </c>
      <c r="U39" s="30" t="s">
        <v>260</v>
      </c>
      <c r="V39" s="16">
        <v>0</v>
      </c>
      <c r="W39" s="176">
        <v>0</v>
      </c>
      <c r="X39" s="16">
        <v>833</v>
      </c>
      <c r="Y39" s="16">
        <v>833</v>
      </c>
      <c r="Z39" s="37">
        <v>1</v>
      </c>
      <c r="AB39" s="35" t="s">
        <v>259</v>
      </c>
      <c r="AC39" s="30" t="s">
        <v>260</v>
      </c>
      <c r="AD39" s="16">
        <f t="shared" si="8"/>
        <v>672.83</v>
      </c>
      <c r="AE39" s="16">
        <v>10000</v>
      </c>
      <c r="AF39" s="165"/>
      <c r="AG39" s="16">
        <f t="shared" si="9"/>
        <v>10000</v>
      </c>
      <c r="AH39" s="16">
        <f t="shared" si="6"/>
        <v>0</v>
      </c>
      <c r="AI39" s="16">
        <v>10000</v>
      </c>
      <c r="AJ39" s="16"/>
      <c r="AK39" s="16">
        <v>10000</v>
      </c>
      <c r="AL39" s="165"/>
      <c r="AM39" s="165">
        <v>10000</v>
      </c>
      <c r="AN39" s="300">
        <f t="shared" si="7"/>
        <v>9327.17</v>
      </c>
    </row>
    <row r="40" spans="1:40" s="26" customFormat="1" ht="15.75">
      <c r="A40" s="259">
        <v>2601</v>
      </c>
      <c r="B40" s="260" t="s">
        <v>14</v>
      </c>
      <c r="C40" s="197">
        <v>605772.95</v>
      </c>
      <c r="D40" s="197">
        <v>715189.38</v>
      </c>
      <c r="E40" s="197">
        <v>718932.37</v>
      </c>
      <c r="F40" s="197">
        <v>1015360.78</v>
      </c>
      <c r="G40" s="197">
        <v>1423920.07</v>
      </c>
      <c r="H40" s="197">
        <v>1621061.19</v>
      </c>
      <c r="I40" s="197">
        <v>97437.63</v>
      </c>
      <c r="J40" s="197">
        <v>259499.73</v>
      </c>
      <c r="K40" s="197">
        <v>59327.22</v>
      </c>
      <c r="L40" s="197">
        <v>122970.34</v>
      </c>
      <c r="M40" s="197"/>
      <c r="N40" s="197"/>
      <c r="O40" s="197">
        <v>6639471.66</v>
      </c>
      <c r="P40" s="197">
        <v>6538067</v>
      </c>
      <c r="Q40" s="197">
        <v>-101404.66000000015</v>
      </c>
      <c r="R40" s="261">
        <v>-0.015509883884640543</v>
      </c>
      <c r="S40" s="34"/>
      <c r="T40" s="259">
        <v>2601</v>
      </c>
      <c r="U40" s="260" t="s">
        <v>14</v>
      </c>
      <c r="V40" s="197">
        <v>122970.34</v>
      </c>
      <c r="W40" s="262">
        <v>0.0037275392777392246</v>
      </c>
      <c r="X40" s="197">
        <v>202270</v>
      </c>
      <c r="Y40" s="277">
        <v>79299.66</v>
      </c>
      <c r="Z40" s="263">
        <v>0.3920485489691996</v>
      </c>
      <c r="AB40" s="259">
        <v>2601</v>
      </c>
      <c r="AC40" s="260" t="s">
        <v>14</v>
      </c>
      <c r="AD40" s="264">
        <f t="shared" si="8"/>
        <v>6639471.66</v>
      </c>
      <c r="AE40" s="264">
        <v>3958120</v>
      </c>
      <c r="AF40" s="265">
        <v>-14199</v>
      </c>
      <c r="AG40" s="264">
        <f t="shared" si="9"/>
        <v>3943921</v>
      </c>
      <c r="AH40" s="264">
        <f t="shared" si="6"/>
        <v>0</v>
      </c>
      <c r="AI40" s="264">
        <v>3943921</v>
      </c>
      <c r="AJ40" s="264"/>
      <c r="AK40" s="264">
        <v>3943921</v>
      </c>
      <c r="AL40" s="293">
        <v>3000000</v>
      </c>
      <c r="AM40" s="293">
        <v>6943921</v>
      </c>
      <c r="AN40" s="294">
        <f t="shared" si="7"/>
        <v>304449.33999999985</v>
      </c>
    </row>
    <row r="41" spans="1:40" ht="15.75">
      <c r="A41" s="35" t="s">
        <v>239</v>
      </c>
      <c r="B41" s="30" t="s">
        <v>243</v>
      </c>
      <c r="C41" s="16">
        <v>482.56</v>
      </c>
      <c r="D41" s="16"/>
      <c r="E41" s="16">
        <v>40983.53</v>
      </c>
      <c r="F41" s="16">
        <v>3460.6</v>
      </c>
      <c r="G41" s="16">
        <v>8474.7</v>
      </c>
      <c r="H41" s="16">
        <v>0</v>
      </c>
      <c r="I41" s="16">
        <v>435.2</v>
      </c>
      <c r="J41" s="16">
        <v>4894</v>
      </c>
      <c r="K41" s="16">
        <v>588</v>
      </c>
      <c r="L41" s="16">
        <v>572</v>
      </c>
      <c r="M41" s="16"/>
      <c r="N41" s="16"/>
      <c r="O41" s="16">
        <v>59890.59</v>
      </c>
      <c r="P41" s="16">
        <v>58334</v>
      </c>
      <c r="Q41" s="16">
        <v>-1556.5899999999965</v>
      </c>
      <c r="R41" s="149">
        <v>-0.02668409503891378</v>
      </c>
      <c r="S41" s="34"/>
      <c r="T41" s="35" t="s">
        <v>239</v>
      </c>
      <c r="U41" s="30" t="s">
        <v>243</v>
      </c>
      <c r="V41" s="16">
        <v>572</v>
      </c>
      <c r="W41" s="175">
        <v>1.733875393746847E-05</v>
      </c>
      <c r="X41" s="16">
        <v>833</v>
      </c>
      <c r="Y41" s="161">
        <v>261</v>
      </c>
      <c r="Z41" s="37">
        <v>0.3133253301320528</v>
      </c>
      <c r="AB41" s="35" t="s">
        <v>239</v>
      </c>
      <c r="AC41" s="30" t="s">
        <v>241</v>
      </c>
      <c r="AD41" s="16">
        <f t="shared" si="8"/>
        <v>59890.59</v>
      </c>
      <c r="AE41" s="16">
        <v>35000</v>
      </c>
      <c r="AF41" s="165">
        <v>-10000</v>
      </c>
      <c r="AG41" s="16">
        <f t="shared" si="9"/>
        <v>25000</v>
      </c>
      <c r="AH41" s="16">
        <f t="shared" si="6"/>
        <v>0</v>
      </c>
      <c r="AI41" s="16">
        <v>25000</v>
      </c>
      <c r="AJ41" s="16"/>
      <c r="AK41" s="16">
        <v>25000</v>
      </c>
      <c r="AL41" s="165">
        <v>35000</v>
      </c>
      <c r="AM41" s="165">
        <v>60000</v>
      </c>
      <c r="AN41" s="300">
        <f t="shared" si="7"/>
        <v>109.41000000000349</v>
      </c>
    </row>
    <row r="42" spans="1:40" ht="18" thickBot="1">
      <c r="A42" s="266">
        <v>2000</v>
      </c>
      <c r="B42" s="267" t="s">
        <v>15</v>
      </c>
      <c r="C42" s="268">
        <f>SUM(C28:C41)</f>
        <v>1233518.2</v>
      </c>
      <c r="D42" s="268">
        <f>SUM(D28:D40)</f>
        <v>1461290.73</v>
      </c>
      <c r="E42" s="268">
        <f>SUM(E28:E41)</f>
        <v>2795241.6199999996</v>
      </c>
      <c r="F42" s="268">
        <f>SUM(F28:F41)</f>
        <v>33024199.240000006</v>
      </c>
      <c r="G42" s="268">
        <f>SUM(G28:G41)</f>
        <v>3479831.8000000007</v>
      </c>
      <c r="H42" s="268">
        <f>SUM(H28:H41)</f>
        <v>35653092.41</v>
      </c>
      <c r="I42" s="268">
        <v>2911234.5</v>
      </c>
      <c r="J42" s="268">
        <f>SUM(J28:J41)</f>
        <v>2293229.2600000002</v>
      </c>
      <c r="K42" s="268">
        <f>SUM(K28:K40)</f>
        <v>641565.4</v>
      </c>
      <c r="L42" s="268">
        <v>598586.03</v>
      </c>
      <c r="M42" s="268">
        <v>0</v>
      </c>
      <c r="N42" s="268">
        <v>0</v>
      </c>
      <c r="O42" s="268">
        <v>84092377.19</v>
      </c>
      <c r="P42" s="268">
        <v>82981864</v>
      </c>
      <c r="Q42" s="285">
        <v>-1110513.1900000104</v>
      </c>
      <c r="R42" s="269">
        <v>-0.013382601166924985</v>
      </c>
      <c r="S42" s="46"/>
      <c r="T42" s="266">
        <v>2000</v>
      </c>
      <c r="U42" s="267" t="s">
        <v>15</v>
      </c>
      <c r="V42" s="268">
        <v>598586.03</v>
      </c>
      <c r="W42" s="270">
        <v>0.018144643154853358</v>
      </c>
      <c r="X42" s="268">
        <v>1150477</v>
      </c>
      <c r="Y42" s="278">
        <v>551890.97</v>
      </c>
      <c r="Z42" s="271">
        <v>0.47970621750804227</v>
      </c>
      <c r="AB42" s="266">
        <v>2000</v>
      </c>
      <c r="AC42" s="267" t="s">
        <v>15</v>
      </c>
      <c r="AD42" s="268">
        <f aca="true" t="shared" si="10" ref="AD42:AI42">SUM(AD28:AD41)</f>
        <v>84092377.19</v>
      </c>
      <c r="AE42" s="268">
        <f t="shared" si="10"/>
        <v>18806151</v>
      </c>
      <c r="AF42" s="272">
        <f t="shared" si="10"/>
        <v>38106837</v>
      </c>
      <c r="AG42" s="268">
        <f t="shared" si="10"/>
        <v>56912988</v>
      </c>
      <c r="AH42" s="273">
        <f t="shared" si="10"/>
        <v>27581931</v>
      </c>
      <c r="AI42" s="268">
        <f t="shared" si="10"/>
        <v>84494919</v>
      </c>
      <c r="AJ42" s="268">
        <v>0</v>
      </c>
      <c r="AK42" s="268">
        <v>84494919</v>
      </c>
      <c r="AL42" s="285">
        <v>785000</v>
      </c>
      <c r="AM42" s="285">
        <v>85279919</v>
      </c>
      <c r="AN42" s="296">
        <f>SUM(AN28:AN41)</f>
        <v>1187541.8099999898</v>
      </c>
    </row>
    <row r="43" spans="1:40" ht="12" customHeight="1" hidden="1" thickTop="1">
      <c r="A43" s="131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51"/>
      <c r="S43" s="46"/>
      <c r="T43" s="131"/>
      <c r="U43" s="132"/>
      <c r="V43" s="133"/>
      <c r="W43" s="134"/>
      <c r="X43" s="133"/>
      <c r="Y43" s="135"/>
      <c r="Z43" s="136"/>
      <c r="AB43" s="131"/>
      <c r="AC43" s="132"/>
      <c r="AD43" s="133"/>
      <c r="AE43" s="133"/>
      <c r="AF43" s="133"/>
      <c r="AG43" s="133"/>
      <c r="AH43" s="133"/>
      <c r="AI43" s="133"/>
      <c r="AJ43" s="133"/>
      <c r="AK43" s="133"/>
      <c r="AL43" s="297"/>
      <c r="AM43" s="297"/>
      <c r="AN43" s="298"/>
    </row>
    <row r="44" spans="1:40" s="26" customFormat="1" ht="16.5" thickTop="1">
      <c r="A44" s="259">
        <v>3103</v>
      </c>
      <c r="B44" s="260" t="s">
        <v>74</v>
      </c>
      <c r="C44" s="197">
        <v>127482.35</v>
      </c>
      <c r="D44" s="197">
        <v>309735.43</v>
      </c>
      <c r="E44" s="197">
        <v>1058164.4</v>
      </c>
      <c r="F44" s="197">
        <v>1236507.09</v>
      </c>
      <c r="G44" s="197">
        <v>543874.97</v>
      </c>
      <c r="H44" s="197">
        <v>1012316.42</v>
      </c>
      <c r="I44" s="197">
        <v>1829737.96</v>
      </c>
      <c r="J44" s="197">
        <f>636946.65-1245.86</f>
        <v>635700.79</v>
      </c>
      <c r="K44" s="197">
        <v>433331.61</v>
      </c>
      <c r="L44" s="197">
        <v>336699.29</v>
      </c>
      <c r="M44" s="197"/>
      <c r="N44" s="197"/>
      <c r="O44" s="197">
        <v>7523550.3100000005</v>
      </c>
      <c r="P44" s="197">
        <v>7763020</v>
      </c>
      <c r="Q44" s="197">
        <v>239469.68999999948</v>
      </c>
      <c r="R44" s="261">
        <v>0.030847491053739327</v>
      </c>
      <c r="S44" s="34"/>
      <c r="T44" s="259">
        <v>3103</v>
      </c>
      <c r="U44" s="260" t="s">
        <v>74</v>
      </c>
      <c r="V44" s="197">
        <v>336699.29</v>
      </c>
      <c r="W44" s="262">
        <v>0.010206199545857234</v>
      </c>
      <c r="X44" s="197">
        <v>203357</v>
      </c>
      <c r="Y44" s="277">
        <v>-133342.28999999998</v>
      </c>
      <c r="Z44" s="263">
        <v>-0.6557054342855175</v>
      </c>
      <c r="AB44" s="259">
        <v>3103</v>
      </c>
      <c r="AC44" s="260" t="s">
        <v>74</v>
      </c>
      <c r="AD44" s="264">
        <f>+O44</f>
        <v>7523550.3100000005</v>
      </c>
      <c r="AE44" s="264">
        <v>5169732</v>
      </c>
      <c r="AF44" s="265"/>
      <c r="AG44" s="264">
        <f>AE44+AF44</f>
        <v>5169732</v>
      </c>
      <c r="AH44" s="264">
        <f aca="true" t="shared" si="11" ref="AH44:AH51">AI44-AG44</f>
        <v>0</v>
      </c>
      <c r="AI44" s="264">
        <v>5169732</v>
      </c>
      <c r="AJ44" s="264"/>
      <c r="AK44" s="264">
        <v>5169732</v>
      </c>
      <c r="AL44" s="293">
        <v>3000000</v>
      </c>
      <c r="AM44" s="293">
        <v>8169732</v>
      </c>
      <c r="AN44" s="294">
        <f aca="true" t="shared" si="12" ref="AN44:AN71">AM44-AD44</f>
        <v>646181.6899999995</v>
      </c>
    </row>
    <row r="45" spans="1:40" s="26" customFormat="1" ht="15.75">
      <c r="A45" s="35">
        <v>3104</v>
      </c>
      <c r="B45" s="30" t="s">
        <v>16</v>
      </c>
      <c r="C45" s="16">
        <v>332</v>
      </c>
      <c r="D45" s="16">
        <v>77579</v>
      </c>
      <c r="E45" s="16">
        <v>133144</v>
      </c>
      <c r="F45" s="16">
        <v>117317.36</v>
      </c>
      <c r="G45" s="16">
        <v>184728</v>
      </c>
      <c r="H45" s="16">
        <v>115356</v>
      </c>
      <c r="I45" s="16">
        <v>271322.09</v>
      </c>
      <c r="J45" s="16">
        <v>214268.47</v>
      </c>
      <c r="K45" s="16">
        <v>198758</v>
      </c>
      <c r="L45" s="16">
        <v>105825.33</v>
      </c>
      <c r="M45" s="16"/>
      <c r="N45" s="16"/>
      <c r="O45" s="16">
        <v>1418630.25</v>
      </c>
      <c r="P45" s="16">
        <v>1137320</v>
      </c>
      <c r="Q45" s="16">
        <v>-281310.25</v>
      </c>
      <c r="R45" s="149">
        <v>-0.24734485457039357</v>
      </c>
      <c r="S45" s="34"/>
      <c r="T45" s="35">
        <v>3104</v>
      </c>
      <c r="U45" s="30" t="s">
        <v>16</v>
      </c>
      <c r="V45" s="16">
        <v>105825.33</v>
      </c>
      <c r="W45" s="176">
        <v>0.003207831044093357</v>
      </c>
      <c r="X45" s="16">
        <v>93732</v>
      </c>
      <c r="Y45" s="161">
        <v>-12093.330000000002</v>
      </c>
      <c r="Z45" s="37">
        <v>-0.12902029189604405</v>
      </c>
      <c r="AB45" s="35">
        <v>3104</v>
      </c>
      <c r="AC45" s="30" t="s">
        <v>16</v>
      </c>
      <c r="AD45" s="38">
        <f aca="true" t="shared" si="13" ref="AD45:AD71">+O45</f>
        <v>1418630.25</v>
      </c>
      <c r="AE45" s="38">
        <v>1124786</v>
      </c>
      <c r="AF45" s="276"/>
      <c r="AG45" s="38">
        <f aca="true" t="shared" si="14" ref="AG45:AG71">AE45+AF45</f>
        <v>1124786</v>
      </c>
      <c r="AH45" s="38">
        <f t="shared" si="11"/>
        <v>0</v>
      </c>
      <c r="AI45" s="38">
        <v>1124786</v>
      </c>
      <c r="AJ45" s="38"/>
      <c r="AK45" s="38">
        <v>1124786</v>
      </c>
      <c r="AL45" s="162">
        <v>200000</v>
      </c>
      <c r="AM45" s="162">
        <v>1324786</v>
      </c>
      <c r="AN45" s="292">
        <f t="shared" si="12"/>
        <v>-93844.25</v>
      </c>
    </row>
    <row r="46" spans="1:40" s="26" customFormat="1" ht="15.75">
      <c r="A46" s="259">
        <v>3105</v>
      </c>
      <c r="B46" s="260" t="s">
        <v>54</v>
      </c>
      <c r="C46" s="197">
        <v>3894</v>
      </c>
      <c r="D46" s="197">
        <v>719</v>
      </c>
      <c r="E46" s="197">
        <v>8748.36</v>
      </c>
      <c r="F46" s="197">
        <v>3067.41</v>
      </c>
      <c r="G46" s="197">
        <v>4396</v>
      </c>
      <c r="H46" s="197">
        <v>15800</v>
      </c>
      <c r="I46" s="197">
        <v>6397</v>
      </c>
      <c r="J46" s="197">
        <v>4413</v>
      </c>
      <c r="K46" s="197">
        <v>3218.78</v>
      </c>
      <c r="L46" s="197">
        <v>7649</v>
      </c>
      <c r="M46" s="197"/>
      <c r="N46" s="197"/>
      <c r="O46" s="197">
        <v>58302.55</v>
      </c>
      <c r="P46" s="197">
        <v>72338</v>
      </c>
      <c r="Q46" s="197">
        <v>14035.449999999997</v>
      </c>
      <c r="R46" s="261">
        <v>0.19402596145870768</v>
      </c>
      <c r="S46" s="34"/>
      <c r="T46" s="259">
        <v>3105</v>
      </c>
      <c r="U46" s="260" t="s">
        <v>54</v>
      </c>
      <c r="V46" s="197">
        <v>7649</v>
      </c>
      <c r="W46" s="262">
        <v>0.00023186036515331527</v>
      </c>
      <c r="X46" s="197">
        <v>0</v>
      </c>
      <c r="Y46" s="277">
        <v>-7649</v>
      </c>
      <c r="Z46" s="263"/>
      <c r="AB46" s="259">
        <v>3105</v>
      </c>
      <c r="AC46" s="260" t="s">
        <v>54</v>
      </c>
      <c r="AD46" s="264">
        <f t="shared" si="13"/>
        <v>58302.55</v>
      </c>
      <c r="AE46" s="264">
        <v>52339</v>
      </c>
      <c r="AF46" s="265"/>
      <c r="AG46" s="264">
        <f t="shared" si="14"/>
        <v>52339</v>
      </c>
      <c r="AH46" s="264">
        <f t="shared" si="11"/>
        <v>0</v>
      </c>
      <c r="AI46" s="264">
        <v>52339</v>
      </c>
      <c r="AJ46" s="264"/>
      <c r="AK46" s="264">
        <v>52339</v>
      </c>
      <c r="AL46" s="293">
        <v>20000</v>
      </c>
      <c r="AM46" s="293">
        <v>72339</v>
      </c>
      <c r="AN46" s="294">
        <f t="shared" si="12"/>
        <v>14036.449999999997</v>
      </c>
    </row>
    <row r="47" spans="1:40" s="26" customFormat="1" ht="15.75">
      <c r="A47" s="35">
        <v>3201</v>
      </c>
      <c r="B47" s="30" t="s">
        <v>207</v>
      </c>
      <c r="C47" s="16">
        <v>888510.37</v>
      </c>
      <c r="D47" s="16">
        <v>888510.57</v>
      </c>
      <c r="E47" s="16">
        <v>879230.57</v>
      </c>
      <c r="F47" s="16">
        <v>891130.57</v>
      </c>
      <c r="G47" s="16">
        <v>1207326.66</v>
      </c>
      <c r="H47" s="16">
        <v>1131924.79</v>
      </c>
      <c r="I47" s="16">
        <v>1145858.59</v>
      </c>
      <c r="J47" s="16">
        <v>817076.61</v>
      </c>
      <c r="K47" s="16">
        <v>479489.03</v>
      </c>
      <c r="L47" s="16">
        <v>439121.03</v>
      </c>
      <c r="M47" s="16"/>
      <c r="N47" s="16"/>
      <c r="O47" s="16">
        <v>8768178.79</v>
      </c>
      <c r="P47" s="16">
        <v>8950768</v>
      </c>
      <c r="Q47" s="16">
        <v>182589.2100000009</v>
      </c>
      <c r="R47" s="149">
        <v>0.02039927858704425</v>
      </c>
      <c r="S47" s="34"/>
      <c r="T47" s="35">
        <v>3201</v>
      </c>
      <c r="U47" s="30" t="s">
        <v>207</v>
      </c>
      <c r="V47" s="16">
        <v>439121.03</v>
      </c>
      <c r="W47" s="176">
        <v>0.013310859244646348</v>
      </c>
      <c r="X47" s="16">
        <v>379077</v>
      </c>
      <c r="Y47" s="16">
        <v>-60044.03000000003</v>
      </c>
      <c r="Z47" s="37">
        <v>-0.15839533920549131</v>
      </c>
      <c r="AB47" s="35">
        <v>3201</v>
      </c>
      <c r="AC47" s="30" t="s">
        <v>207</v>
      </c>
      <c r="AD47" s="38">
        <f t="shared" si="13"/>
        <v>8768178.79</v>
      </c>
      <c r="AE47" s="38">
        <v>15313927</v>
      </c>
      <c r="AF47" s="276">
        <v>-5005000</v>
      </c>
      <c r="AG47" s="38">
        <f t="shared" si="14"/>
        <v>10308927</v>
      </c>
      <c r="AH47" s="38">
        <f t="shared" si="11"/>
        <v>0</v>
      </c>
      <c r="AI47" s="38">
        <v>10308927</v>
      </c>
      <c r="AJ47" s="38"/>
      <c r="AK47" s="38">
        <v>10308927</v>
      </c>
      <c r="AL47" s="162">
        <v>-600000</v>
      </c>
      <c r="AM47" s="162">
        <v>9708927</v>
      </c>
      <c r="AN47" s="292">
        <f t="shared" si="12"/>
        <v>940748.2100000009</v>
      </c>
    </row>
    <row r="48" spans="1:40" s="26" customFormat="1" ht="15.75">
      <c r="A48" s="259">
        <v>3203</v>
      </c>
      <c r="B48" s="260" t="s">
        <v>206</v>
      </c>
      <c r="C48" s="197">
        <v>42690.66</v>
      </c>
      <c r="D48" s="197">
        <v>0</v>
      </c>
      <c r="E48" s="197">
        <v>80839.46</v>
      </c>
      <c r="F48" s="197">
        <v>79014.38</v>
      </c>
      <c r="G48" s="197">
        <v>100471.49</v>
      </c>
      <c r="H48" s="197">
        <v>368343.5</v>
      </c>
      <c r="I48" s="197">
        <v>800579.02</v>
      </c>
      <c r="J48" s="197">
        <v>400074.16</v>
      </c>
      <c r="K48" s="197">
        <v>107568.33</v>
      </c>
      <c r="L48" s="197">
        <v>61547.67</v>
      </c>
      <c r="M48" s="197"/>
      <c r="N48" s="197"/>
      <c r="O48" s="197">
        <v>2041128.67</v>
      </c>
      <c r="P48" s="197">
        <v>1659810</v>
      </c>
      <c r="Q48" s="197">
        <v>-381318.6699999999</v>
      </c>
      <c r="R48" s="261">
        <v>-0.22973633729161766</v>
      </c>
      <c r="S48" s="34"/>
      <c r="T48" s="259">
        <v>3203</v>
      </c>
      <c r="U48" s="260" t="s">
        <v>206</v>
      </c>
      <c r="V48" s="197">
        <v>61547.67</v>
      </c>
      <c r="W48" s="262">
        <v>0.0018656641705498426</v>
      </c>
      <c r="X48" s="197">
        <v>149981</v>
      </c>
      <c r="Y48" s="197">
        <v>88433.33</v>
      </c>
      <c r="Z48" s="263">
        <v>0.5896302198278449</v>
      </c>
      <c r="AB48" s="259">
        <v>3203</v>
      </c>
      <c r="AC48" s="260" t="s">
        <v>206</v>
      </c>
      <c r="AD48" s="264">
        <f t="shared" si="13"/>
        <v>2041128.67</v>
      </c>
      <c r="AE48" s="264">
        <v>1959776</v>
      </c>
      <c r="AF48" s="265"/>
      <c r="AG48" s="264">
        <f t="shared" si="14"/>
        <v>1959776</v>
      </c>
      <c r="AH48" s="264">
        <f t="shared" si="11"/>
        <v>0</v>
      </c>
      <c r="AI48" s="264">
        <v>1959776</v>
      </c>
      <c r="AJ48" s="264"/>
      <c r="AK48" s="264">
        <v>1959776</v>
      </c>
      <c r="AL48" s="293"/>
      <c r="AM48" s="293">
        <v>1959776</v>
      </c>
      <c r="AN48" s="294">
        <f t="shared" si="12"/>
        <v>-81352.66999999993</v>
      </c>
    </row>
    <row r="49" spans="1:40" ht="15.75">
      <c r="A49" s="35" t="s">
        <v>273</v>
      </c>
      <c r="B49" s="30" t="s">
        <v>274</v>
      </c>
      <c r="C49" s="16"/>
      <c r="D49" s="16"/>
      <c r="E49" s="16"/>
      <c r="F49" s="16">
        <v>34994.88</v>
      </c>
      <c r="G49" s="16"/>
      <c r="H49" s="16"/>
      <c r="I49" s="16"/>
      <c r="J49" s="16">
        <v>0</v>
      </c>
      <c r="K49" s="16">
        <v>0</v>
      </c>
      <c r="L49" s="16"/>
      <c r="M49" s="16"/>
      <c r="N49" s="16"/>
      <c r="O49" s="16">
        <v>34994.88</v>
      </c>
      <c r="P49" s="16">
        <v>50000</v>
      </c>
      <c r="Q49" s="16">
        <v>15005.120000000003</v>
      </c>
      <c r="R49" s="149"/>
      <c r="S49" s="34"/>
      <c r="T49" s="35" t="s">
        <v>273</v>
      </c>
      <c r="U49" s="30" t="s">
        <v>274</v>
      </c>
      <c r="V49" s="16">
        <v>0</v>
      </c>
      <c r="W49" s="176">
        <v>0</v>
      </c>
      <c r="X49" s="16">
        <v>0</v>
      </c>
      <c r="Y49" s="16">
        <v>0</v>
      </c>
      <c r="Z49" s="37"/>
      <c r="AB49" s="35" t="s">
        <v>273</v>
      </c>
      <c r="AC49" s="30" t="s">
        <v>274</v>
      </c>
      <c r="AD49" s="38">
        <f t="shared" si="13"/>
        <v>34994.88</v>
      </c>
      <c r="AE49" s="127">
        <v>0</v>
      </c>
      <c r="AF49" s="166"/>
      <c r="AG49" s="38">
        <f t="shared" si="14"/>
        <v>0</v>
      </c>
      <c r="AH49" s="127">
        <v>0</v>
      </c>
      <c r="AI49" s="38">
        <v>0</v>
      </c>
      <c r="AJ49" s="38"/>
      <c r="AK49" s="38">
        <v>0</v>
      </c>
      <c r="AL49" s="162">
        <v>50000</v>
      </c>
      <c r="AM49" s="162">
        <v>50000</v>
      </c>
      <c r="AN49" s="292">
        <f t="shared" si="12"/>
        <v>15005.120000000003</v>
      </c>
    </row>
    <row r="50" spans="1:40" s="26" customFormat="1" ht="15.75">
      <c r="A50" s="259" t="s">
        <v>244</v>
      </c>
      <c r="B50" s="260" t="s">
        <v>245</v>
      </c>
      <c r="C50" s="197"/>
      <c r="D50" s="197"/>
      <c r="E50" s="197"/>
      <c r="F50" s="197"/>
      <c r="G50" s="197">
        <v>8352</v>
      </c>
      <c r="H50" s="197">
        <v>30200.6</v>
      </c>
      <c r="I50" s="197">
        <v>7000</v>
      </c>
      <c r="J50" s="197">
        <v>0</v>
      </c>
      <c r="K50" s="197">
        <v>1392</v>
      </c>
      <c r="L50" s="197"/>
      <c r="M50" s="197"/>
      <c r="N50" s="197"/>
      <c r="O50" s="197">
        <v>46944.6</v>
      </c>
      <c r="P50" s="197">
        <v>52730</v>
      </c>
      <c r="Q50" s="197">
        <v>5785.4000000000015</v>
      </c>
      <c r="R50" s="261">
        <v>0.10971742840887543</v>
      </c>
      <c r="S50" s="34"/>
      <c r="T50" s="259" t="s">
        <v>244</v>
      </c>
      <c r="U50" s="260" t="s">
        <v>245</v>
      </c>
      <c r="V50" s="197">
        <v>0</v>
      </c>
      <c r="W50" s="262">
        <v>0</v>
      </c>
      <c r="X50" s="197">
        <v>3273</v>
      </c>
      <c r="Y50" s="277">
        <v>3273</v>
      </c>
      <c r="Z50" s="263">
        <v>1</v>
      </c>
      <c r="AB50" s="259" t="s">
        <v>244</v>
      </c>
      <c r="AC50" s="260" t="s">
        <v>245</v>
      </c>
      <c r="AD50" s="264">
        <f t="shared" si="13"/>
        <v>46944.6</v>
      </c>
      <c r="AE50" s="264">
        <v>36000</v>
      </c>
      <c r="AF50" s="265"/>
      <c r="AG50" s="264">
        <f t="shared" si="14"/>
        <v>36000</v>
      </c>
      <c r="AH50" s="264">
        <f t="shared" si="11"/>
        <v>0</v>
      </c>
      <c r="AI50" s="264">
        <v>36000</v>
      </c>
      <c r="AJ50" s="264"/>
      <c r="AK50" s="264">
        <v>36000</v>
      </c>
      <c r="AL50" s="293">
        <v>20000</v>
      </c>
      <c r="AM50" s="293">
        <v>56000</v>
      </c>
      <c r="AN50" s="294">
        <f t="shared" si="12"/>
        <v>9055.400000000001</v>
      </c>
    </row>
    <row r="51" spans="1:40" ht="15.75">
      <c r="A51" s="35" t="s">
        <v>197</v>
      </c>
      <c r="B51" s="30" t="s">
        <v>194</v>
      </c>
      <c r="C51" s="16"/>
      <c r="D51" s="16"/>
      <c r="E51" s="16"/>
      <c r="F51" s="16"/>
      <c r="G51" s="16"/>
      <c r="H51" s="16">
        <v>9424</v>
      </c>
      <c r="I51" s="16">
        <v>6612</v>
      </c>
      <c r="J51" s="16">
        <v>7673.32</v>
      </c>
      <c r="K51" s="16">
        <v>4232.4</v>
      </c>
      <c r="L51" s="16">
        <v>9000</v>
      </c>
      <c r="M51" s="16"/>
      <c r="N51" s="16"/>
      <c r="O51" s="16">
        <v>36941.72</v>
      </c>
      <c r="P51" s="16">
        <v>265830</v>
      </c>
      <c r="Q51" s="16">
        <v>228888.28</v>
      </c>
      <c r="R51" s="149">
        <v>0.861032539592973</v>
      </c>
      <c r="S51" s="34"/>
      <c r="T51" s="35" t="s">
        <v>197</v>
      </c>
      <c r="U51" s="30" t="s">
        <v>194</v>
      </c>
      <c r="V51" s="16">
        <v>9000</v>
      </c>
      <c r="W51" s="176">
        <v>0.0002728125619531752</v>
      </c>
      <c r="X51" s="16">
        <v>1583</v>
      </c>
      <c r="Y51" s="161">
        <v>-7417</v>
      </c>
      <c r="Z51" s="37">
        <v>-4.685407454200885</v>
      </c>
      <c r="AB51" s="35" t="s">
        <v>197</v>
      </c>
      <c r="AC51" s="30" t="s">
        <v>194</v>
      </c>
      <c r="AD51" s="127">
        <f t="shared" si="13"/>
        <v>36941.72</v>
      </c>
      <c r="AE51" s="127">
        <v>1069000</v>
      </c>
      <c r="AF51" s="166"/>
      <c r="AG51" s="127">
        <f t="shared" si="14"/>
        <v>1069000</v>
      </c>
      <c r="AH51" s="127">
        <f t="shared" si="11"/>
        <v>0</v>
      </c>
      <c r="AI51" s="127">
        <v>1069000</v>
      </c>
      <c r="AJ51" s="127"/>
      <c r="AK51" s="127">
        <v>1069000</v>
      </c>
      <c r="AL51" s="166">
        <v>-800000</v>
      </c>
      <c r="AM51" s="166">
        <v>269000</v>
      </c>
      <c r="AN51" s="301">
        <f t="shared" si="12"/>
        <v>232058.28</v>
      </c>
    </row>
    <row r="52" spans="1:40" ht="15.75" hidden="1">
      <c r="A52" s="35" t="s">
        <v>246</v>
      </c>
      <c r="B52" s="30" t="s">
        <v>247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v>0</v>
      </c>
      <c r="P52" s="16">
        <v>0</v>
      </c>
      <c r="Q52" s="16">
        <v>0</v>
      </c>
      <c r="R52" s="149"/>
      <c r="S52" s="34"/>
      <c r="T52" s="35" t="s">
        <v>246</v>
      </c>
      <c r="U52" s="30" t="s">
        <v>247</v>
      </c>
      <c r="V52" s="16">
        <v>0</v>
      </c>
      <c r="W52" s="176">
        <v>0</v>
      </c>
      <c r="X52" s="16">
        <v>0</v>
      </c>
      <c r="Y52" s="161">
        <v>0</v>
      </c>
      <c r="Z52" s="37"/>
      <c r="AB52" s="35" t="s">
        <v>246</v>
      </c>
      <c r="AC52" s="30" t="s">
        <v>247</v>
      </c>
      <c r="AD52" s="127">
        <f t="shared" si="13"/>
        <v>0</v>
      </c>
      <c r="AE52" s="127">
        <v>0</v>
      </c>
      <c r="AF52" s="166"/>
      <c r="AG52" s="127">
        <f t="shared" si="14"/>
        <v>0</v>
      </c>
      <c r="AH52" s="127">
        <f aca="true" t="shared" si="15" ref="AH52:AH71">AI52-AG52</f>
        <v>0</v>
      </c>
      <c r="AI52" s="127"/>
      <c r="AJ52" s="127"/>
      <c r="AK52" s="127">
        <v>0</v>
      </c>
      <c r="AL52" s="166"/>
      <c r="AM52" s="166">
        <v>0</v>
      </c>
      <c r="AN52" s="301">
        <f t="shared" si="12"/>
        <v>0</v>
      </c>
    </row>
    <row r="53" spans="1:40" s="26" customFormat="1" ht="15.75">
      <c r="A53" s="259" t="s">
        <v>198</v>
      </c>
      <c r="B53" s="260" t="s">
        <v>195</v>
      </c>
      <c r="C53" s="197">
        <v>120844.29</v>
      </c>
      <c r="D53" s="197">
        <v>377768</v>
      </c>
      <c r="E53" s="197">
        <v>159164.64</v>
      </c>
      <c r="F53" s="197">
        <v>842536.8</v>
      </c>
      <c r="G53" s="197">
        <v>744994.64</v>
      </c>
      <c r="H53" s="197">
        <v>571657.9</v>
      </c>
      <c r="I53" s="197">
        <v>1770415.2</v>
      </c>
      <c r="J53" s="197">
        <v>0</v>
      </c>
      <c r="K53" s="197">
        <v>289290</v>
      </c>
      <c r="L53" s="197">
        <v>26382</v>
      </c>
      <c r="M53" s="197"/>
      <c r="N53" s="197"/>
      <c r="O53" s="197">
        <v>4903053.47</v>
      </c>
      <c r="P53" s="197">
        <v>6780001</v>
      </c>
      <c r="Q53" s="197">
        <v>1876947.5300000003</v>
      </c>
      <c r="R53" s="261">
        <v>0.27683587804780563</v>
      </c>
      <c r="S53" s="34"/>
      <c r="T53" s="259" t="s">
        <v>198</v>
      </c>
      <c r="U53" s="260" t="s">
        <v>195</v>
      </c>
      <c r="V53" s="197">
        <v>26382</v>
      </c>
      <c r="W53" s="262">
        <v>0.0007997045566054076</v>
      </c>
      <c r="X53" s="197">
        <v>0</v>
      </c>
      <c r="Y53" s="277">
        <v>-26382</v>
      </c>
      <c r="Z53" s="263"/>
      <c r="AB53" s="259" t="s">
        <v>198</v>
      </c>
      <c r="AC53" s="260" t="s">
        <v>195</v>
      </c>
      <c r="AD53" s="264">
        <f t="shared" si="13"/>
        <v>4903053.47</v>
      </c>
      <c r="AE53" s="264">
        <v>1280000</v>
      </c>
      <c r="AF53" s="265">
        <v>11400000</v>
      </c>
      <c r="AG53" s="264">
        <f t="shared" si="14"/>
        <v>12680000</v>
      </c>
      <c r="AH53" s="265">
        <f t="shared" si="15"/>
        <v>-8900000</v>
      </c>
      <c r="AI53" s="264">
        <v>3780000</v>
      </c>
      <c r="AJ53" s="264"/>
      <c r="AK53" s="264">
        <v>3780000</v>
      </c>
      <c r="AL53" s="293">
        <v>3000000</v>
      </c>
      <c r="AM53" s="293">
        <v>6780000</v>
      </c>
      <c r="AN53" s="294">
        <f t="shared" si="12"/>
        <v>1876946.5300000003</v>
      </c>
    </row>
    <row r="54" spans="1:40" ht="15.75">
      <c r="A54" s="35" t="s">
        <v>248</v>
      </c>
      <c r="B54" s="123" t="s">
        <v>249</v>
      </c>
      <c r="C54" s="16"/>
      <c r="D54" s="16">
        <v>1751289</v>
      </c>
      <c r="E54" s="16">
        <v>0</v>
      </c>
      <c r="F54" s="16"/>
      <c r="G54" s="16">
        <v>314244</v>
      </c>
      <c r="H54" s="16"/>
      <c r="I54" s="16">
        <v>290000</v>
      </c>
      <c r="J54" s="16">
        <v>0</v>
      </c>
      <c r="K54" s="16"/>
      <c r="L54" s="16">
        <v>9280</v>
      </c>
      <c r="M54" s="16"/>
      <c r="N54" s="16"/>
      <c r="O54" s="16">
        <v>2364813</v>
      </c>
      <c r="P54" s="16">
        <v>3040100</v>
      </c>
      <c r="Q54" s="16">
        <v>675287</v>
      </c>
      <c r="R54" s="149">
        <v>0.22212657478372422</v>
      </c>
      <c r="S54" s="34"/>
      <c r="T54" s="35" t="s">
        <v>248</v>
      </c>
      <c r="U54" s="123" t="s">
        <v>249</v>
      </c>
      <c r="V54" s="16">
        <v>9280</v>
      </c>
      <c r="W54" s="175">
        <v>0.00028130006388060735</v>
      </c>
      <c r="X54" s="16">
        <v>0</v>
      </c>
      <c r="Y54" s="161">
        <v>-9280</v>
      </c>
      <c r="Z54" s="37"/>
      <c r="AB54" s="35" t="s">
        <v>248</v>
      </c>
      <c r="AC54" s="123" t="s">
        <v>249</v>
      </c>
      <c r="AD54" s="127">
        <f t="shared" si="13"/>
        <v>2364813</v>
      </c>
      <c r="AE54" s="127">
        <v>2898962</v>
      </c>
      <c r="AF54" s="166">
        <v>10000000</v>
      </c>
      <c r="AG54" s="127">
        <f t="shared" si="14"/>
        <v>12898962</v>
      </c>
      <c r="AH54" s="166">
        <f t="shared" si="15"/>
        <v>-7258863</v>
      </c>
      <c r="AI54" s="127">
        <v>5640099</v>
      </c>
      <c r="AJ54" s="127"/>
      <c r="AK54" s="127">
        <v>5640099</v>
      </c>
      <c r="AL54" s="166">
        <v>-2500000</v>
      </c>
      <c r="AM54" s="166">
        <v>3140099</v>
      </c>
      <c r="AN54" s="301">
        <f t="shared" si="12"/>
        <v>775286</v>
      </c>
    </row>
    <row r="55" spans="1:40" s="26" customFormat="1" ht="15.75">
      <c r="A55" s="259">
        <v>3304</v>
      </c>
      <c r="B55" s="260" t="s">
        <v>135</v>
      </c>
      <c r="C55" s="197"/>
      <c r="D55" s="197">
        <v>30000</v>
      </c>
      <c r="E55" s="197">
        <v>63376</v>
      </c>
      <c r="F55" s="197"/>
      <c r="G55" s="197">
        <v>3712</v>
      </c>
      <c r="H55" s="197">
        <v>7301.04</v>
      </c>
      <c r="I55" s="197"/>
      <c r="J55" s="197">
        <v>2712.16</v>
      </c>
      <c r="K55" s="197">
        <v>41655.6</v>
      </c>
      <c r="L55" s="197"/>
      <c r="M55" s="197"/>
      <c r="N55" s="197"/>
      <c r="O55" s="197">
        <v>148756.8</v>
      </c>
      <c r="P55" s="197">
        <v>170058</v>
      </c>
      <c r="Q55" s="197">
        <v>21301.20000000001</v>
      </c>
      <c r="R55" s="261">
        <v>0.12525844123769544</v>
      </c>
      <c r="S55" s="34"/>
      <c r="T55" s="259">
        <v>3304</v>
      </c>
      <c r="U55" s="260" t="s">
        <v>135</v>
      </c>
      <c r="V55" s="197">
        <v>0</v>
      </c>
      <c r="W55" s="262">
        <v>0</v>
      </c>
      <c r="X55" s="197">
        <v>18657</v>
      </c>
      <c r="Y55" s="277">
        <v>18657</v>
      </c>
      <c r="Z55" s="263">
        <v>1</v>
      </c>
      <c r="AB55" s="259">
        <v>3304</v>
      </c>
      <c r="AC55" s="260" t="s">
        <v>135</v>
      </c>
      <c r="AD55" s="264">
        <f t="shared" si="13"/>
        <v>148756.8</v>
      </c>
      <c r="AE55" s="264">
        <v>205032</v>
      </c>
      <c r="AF55" s="265"/>
      <c r="AG55" s="264">
        <f t="shared" si="14"/>
        <v>205032</v>
      </c>
      <c r="AH55" s="264">
        <f t="shared" si="15"/>
        <v>0</v>
      </c>
      <c r="AI55" s="264">
        <v>205032</v>
      </c>
      <c r="AJ55" s="264"/>
      <c r="AK55" s="264">
        <v>205032</v>
      </c>
      <c r="AL55" s="293"/>
      <c r="AM55" s="293">
        <v>205032</v>
      </c>
      <c r="AN55" s="294">
        <f t="shared" si="12"/>
        <v>56275.20000000001</v>
      </c>
    </row>
    <row r="56" spans="1:146" s="45" customFormat="1" ht="15.75">
      <c r="A56" s="35">
        <v>3402</v>
      </c>
      <c r="B56" s="30" t="s">
        <v>76</v>
      </c>
      <c r="C56" s="16">
        <v>5003.11</v>
      </c>
      <c r="D56" s="16">
        <v>23805.08</v>
      </c>
      <c r="E56" s="16">
        <v>29820.73</v>
      </c>
      <c r="F56" s="16">
        <v>21070.49</v>
      </c>
      <c r="G56" s="16">
        <v>13258.64</v>
      </c>
      <c r="H56" s="16">
        <v>35093.57</v>
      </c>
      <c r="I56" s="16">
        <v>137546.41</v>
      </c>
      <c r="J56" s="16">
        <v>142267.45</v>
      </c>
      <c r="K56" s="16">
        <v>8197.67</v>
      </c>
      <c r="L56" s="16">
        <v>11962.81</v>
      </c>
      <c r="M56" s="16"/>
      <c r="N56" s="16"/>
      <c r="O56" s="16">
        <v>428025.96</v>
      </c>
      <c r="P56" s="16">
        <v>340167</v>
      </c>
      <c r="Q56" s="16">
        <v>-87858.96000000002</v>
      </c>
      <c r="R56" s="149">
        <v>-0.2582818439178404</v>
      </c>
      <c r="S56" s="34"/>
      <c r="T56" s="35">
        <v>3402</v>
      </c>
      <c r="U56" s="30" t="s">
        <v>76</v>
      </c>
      <c r="V56" s="16">
        <v>11962.81</v>
      </c>
      <c r="W56" s="175">
        <v>0.0003626227604732293</v>
      </c>
      <c r="X56" s="16">
        <v>21417</v>
      </c>
      <c r="Y56" s="161">
        <v>9454.19</v>
      </c>
      <c r="Z56" s="37">
        <v>0.4414339076434608</v>
      </c>
      <c r="AA56" s="22"/>
      <c r="AB56" s="35">
        <v>3402</v>
      </c>
      <c r="AC56" s="30" t="s">
        <v>76</v>
      </c>
      <c r="AD56" s="127">
        <f t="shared" si="13"/>
        <v>428025.96</v>
      </c>
      <c r="AE56" s="127">
        <v>314500</v>
      </c>
      <c r="AF56" s="166">
        <v>-31500</v>
      </c>
      <c r="AG56" s="127">
        <f t="shared" si="14"/>
        <v>283000</v>
      </c>
      <c r="AH56" s="127">
        <f t="shared" si="15"/>
        <v>0</v>
      </c>
      <c r="AI56" s="127">
        <v>283000</v>
      </c>
      <c r="AJ56" s="127"/>
      <c r="AK56" s="127">
        <v>283000</v>
      </c>
      <c r="AL56" s="166">
        <v>100000</v>
      </c>
      <c r="AM56" s="166">
        <v>383000</v>
      </c>
      <c r="AN56" s="301">
        <f t="shared" si="12"/>
        <v>-45025.96000000002</v>
      </c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</row>
    <row r="57" spans="1:40" s="26" customFormat="1" ht="15.75">
      <c r="A57" s="259" t="s">
        <v>191</v>
      </c>
      <c r="B57" s="260" t="s">
        <v>187</v>
      </c>
      <c r="C57" s="197">
        <v>16008</v>
      </c>
      <c r="D57" s="197">
        <v>8004</v>
      </c>
      <c r="E57" s="197">
        <v>16008</v>
      </c>
      <c r="F57" s="197">
        <v>25172</v>
      </c>
      <c r="G57" s="197">
        <v>8584</v>
      </c>
      <c r="H57" s="197">
        <v>8584</v>
      </c>
      <c r="I57" s="197">
        <v>46632</v>
      </c>
      <c r="J57" s="197">
        <v>17168</v>
      </c>
      <c r="K57" s="197">
        <v>8584</v>
      </c>
      <c r="L57" s="197">
        <v>42456</v>
      </c>
      <c r="M57" s="197"/>
      <c r="N57" s="197"/>
      <c r="O57" s="197">
        <v>197200</v>
      </c>
      <c r="P57" s="197">
        <v>410000</v>
      </c>
      <c r="Q57" s="197">
        <v>212800</v>
      </c>
      <c r="R57" s="261">
        <v>0.5190243902439025</v>
      </c>
      <c r="S57" s="34"/>
      <c r="T57" s="259" t="s">
        <v>191</v>
      </c>
      <c r="U57" s="260" t="s">
        <v>187</v>
      </c>
      <c r="V57" s="197">
        <v>42456</v>
      </c>
      <c r="W57" s="262">
        <v>0.0012869477922537785</v>
      </c>
      <c r="X57" s="197">
        <v>20000</v>
      </c>
      <c r="Y57" s="197">
        <v>-22456</v>
      </c>
      <c r="Z57" s="263">
        <v>-1.1228</v>
      </c>
      <c r="AB57" s="259" t="s">
        <v>191</v>
      </c>
      <c r="AC57" s="260" t="s">
        <v>187</v>
      </c>
      <c r="AD57" s="264">
        <f t="shared" si="13"/>
        <v>197200</v>
      </c>
      <c r="AE57" s="264">
        <v>450000</v>
      </c>
      <c r="AF57" s="265"/>
      <c r="AG57" s="264">
        <f t="shared" si="14"/>
        <v>450000</v>
      </c>
      <c r="AH57" s="264">
        <f t="shared" si="15"/>
        <v>0</v>
      </c>
      <c r="AI57" s="264">
        <v>450000</v>
      </c>
      <c r="AJ57" s="264"/>
      <c r="AK57" s="264">
        <v>450000</v>
      </c>
      <c r="AL57" s="293"/>
      <c r="AM57" s="293">
        <v>450000</v>
      </c>
      <c r="AN57" s="294">
        <f t="shared" si="12"/>
        <v>252800</v>
      </c>
    </row>
    <row r="58" spans="1:146" s="45" customFormat="1" ht="15.75">
      <c r="A58" s="35" t="s">
        <v>228</v>
      </c>
      <c r="B58" s="30" t="s">
        <v>17</v>
      </c>
      <c r="C58" s="16">
        <v>7379.1</v>
      </c>
      <c r="D58" s="16">
        <v>142377.04</v>
      </c>
      <c r="E58" s="16">
        <v>1503941.1</v>
      </c>
      <c r="F58" s="16">
        <v>36486.81</v>
      </c>
      <c r="G58" s="16">
        <v>8101.99</v>
      </c>
      <c r="H58" s="16">
        <v>45019.11</v>
      </c>
      <c r="I58" s="16">
        <v>13754.96</v>
      </c>
      <c r="J58" s="16">
        <v>85510.33</v>
      </c>
      <c r="K58" s="16">
        <v>16155.88</v>
      </c>
      <c r="L58" s="16">
        <v>31849.39</v>
      </c>
      <c r="M58" s="16"/>
      <c r="N58" s="16"/>
      <c r="O58" s="16">
        <v>1890575.7100000002</v>
      </c>
      <c r="P58" s="16">
        <v>2037000</v>
      </c>
      <c r="Q58" s="16">
        <v>146424.2899999998</v>
      </c>
      <c r="R58" s="149">
        <v>0.07188232204221885</v>
      </c>
      <c r="S58" s="34"/>
      <c r="T58" s="35" t="s">
        <v>228</v>
      </c>
      <c r="U58" s="30" t="s">
        <v>17</v>
      </c>
      <c r="V58" s="16">
        <v>31849.39</v>
      </c>
      <c r="W58" s="175">
        <v>0.0009654348536162043</v>
      </c>
      <c r="X58" s="16">
        <v>0</v>
      </c>
      <c r="Y58" s="161">
        <v>-31849.39</v>
      </c>
      <c r="Z58" s="37"/>
      <c r="AA58" s="22"/>
      <c r="AB58" s="35" t="s">
        <v>228</v>
      </c>
      <c r="AC58" s="30" t="s">
        <v>17</v>
      </c>
      <c r="AD58" s="127">
        <f t="shared" si="13"/>
        <v>1890575.7100000002</v>
      </c>
      <c r="AE58" s="127">
        <v>1937000</v>
      </c>
      <c r="AF58" s="166"/>
      <c r="AG58" s="127">
        <f t="shared" si="14"/>
        <v>1937000</v>
      </c>
      <c r="AH58" s="127">
        <f t="shared" si="15"/>
        <v>0</v>
      </c>
      <c r="AI58" s="127">
        <v>1937000</v>
      </c>
      <c r="AJ58" s="127"/>
      <c r="AK58" s="127">
        <v>1937000</v>
      </c>
      <c r="AL58" s="166">
        <v>100000</v>
      </c>
      <c r="AM58" s="166">
        <v>2037000</v>
      </c>
      <c r="AN58" s="301">
        <f t="shared" si="12"/>
        <v>146424.2899999998</v>
      </c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</row>
    <row r="59" spans="1:40" s="26" customFormat="1" ht="15.75">
      <c r="A59" s="259" t="s">
        <v>229</v>
      </c>
      <c r="B59" s="260" t="s">
        <v>77</v>
      </c>
      <c r="C59" s="197"/>
      <c r="D59" s="197">
        <v>9903.53</v>
      </c>
      <c r="E59" s="197">
        <v>-16182.4</v>
      </c>
      <c r="F59" s="197">
        <v>49070.76</v>
      </c>
      <c r="G59" s="197">
        <v>29951.25</v>
      </c>
      <c r="H59" s="197">
        <v>22996.26</v>
      </c>
      <c r="I59" s="197">
        <v>552.71</v>
      </c>
      <c r="J59" s="197">
        <v>3815.52</v>
      </c>
      <c r="K59" s="197">
        <v>1261.97</v>
      </c>
      <c r="L59" s="197">
        <v>2608.95</v>
      </c>
      <c r="M59" s="197"/>
      <c r="N59" s="197"/>
      <c r="O59" s="197">
        <v>103978.55</v>
      </c>
      <c r="P59" s="197">
        <v>112500</v>
      </c>
      <c r="Q59" s="197">
        <v>8521.449999999997</v>
      </c>
      <c r="R59" s="261">
        <v>0.0757462222222222</v>
      </c>
      <c r="S59" s="34"/>
      <c r="T59" s="259" t="s">
        <v>229</v>
      </c>
      <c r="U59" s="260" t="s">
        <v>77</v>
      </c>
      <c r="V59" s="197">
        <v>2608.95</v>
      </c>
      <c r="W59" s="262">
        <v>7.908381483419295E-05</v>
      </c>
      <c r="X59" s="197">
        <v>11250</v>
      </c>
      <c r="Y59" s="277">
        <v>8641.05</v>
      </c>
      <c r="Z59" s="263">
        <v>0.7680933333333333</v>
      </c>
      <c r="AB59" s="259" t="s">
        <v>229</v>
      </c>
      <c r="AC59" s="260" t="s">
        <v>77</v>
      </c>
      <c r="AD59" s="264">
        <f t="shared" si="13"/>
        <v>103978.55</v>
      </c>
      <c r="AE59" s="264">
        <v>135000</v>
      </c>
      <c r="AF59" s="265"/>
      <c r="AG59" s="264">
        <f t="shared" si="14"/>
        <v>135000</v>
      </c>
      <c r="AH59" s="264">
        <f t="shared" si="15"/>
        <v>0</v>
      </c>
      <c r="AI59" s="264">
        <v>135000</v>
      </c>
      <c r="AJ59" s="264"/>
      <c r="AK59" s="264">
        <v>135000</v>
      </c>
      <c r="AL59" s="293"/>
      <c r="AM59" s="293">
        <v>135000</v>
      </c>
      <c r="AN59" s="294">
        <f t="shared" si="12"/>
        <v>31021.449999999997</v>
      </c>
    </row>
    <row r="60" spans="1:40" ht="15.75">
      <c r="A60" s="35" t="s">
        <v>230</v>
      </c>
      <c r="B60" s="30" t="s">
        <v>18</v>
      </c>
      <c r="C60" s="16">
        <v>1160</v>
      </c>
      <c r="D60" s="16">
        <v>0</v>
      </c>
      <c r="E60" s="16">
        <v>11716.76</v>
      </c>
      <c r="F60" s="16">
        <v>7827.06</v>
      </c>
      <c r="G60" s="16">
        <v>22580.03</v>
      </c>
      <c r="H60" s="16">
        <v>50594.42</v>
      </c>
      <c r="I60" s="16">
        <v>776260.14</v>
      </c>
      <c r="J60" s="16">
        <v>174944.7</v>
      </c>
      <c r="K60" s="16">
        <v>4640.01</v>
      </c>
      <c r="L60" s="16">
        <v>129976.59</v>
      </c>
      <c r="M60" s="16"/>
      <c r="N60" s="16"/>
      <c r="O60" s="16">
        <v>1179699.7100000002</v>
      </c>
      <c r="P60" s="16">
        <v>500000</v>
      </c>
      <c r="Q60" s="16">
        <v>-679699.7100000002</v>
      </c>
      <c r="R60" s="149">
        <v>-1.3593994200000004</v>
      </c>
      <c r="S60" s="34"/>
      <c r="T60" s="35" t="s">
        <v>230</v>
      </c>
      <c r="U60" s="30" t="s">
        <v>18</v>
      </c>
      <c r="V60" s="16">
        <v>129976.59</v>
      </c>
      <c r="W60" s="175">
        <v>0.003939916279093051</v>
      </c>
      <c r="X60" s="16">
        <v>0</v>
      </c>
      <c r="Y60" s="161">
        <v>-129976.59</v>
      </c>
      <c r="Z60" s="37"/>
      <c r="AB60" s="35" t="s">
        <v>230</v>
      </c>
      <c r="AC60" s="30" t="s">
        <v>18</v>
      </c>
      <c r="AD60" s="127">
        <f t="shared" si="13"/>
        <v>1179699.7100000002</v>
      </c>
      <c r="AE60" s="127">
        <v>7500000</v>
      </c>
      <c r="AF60" s="166"/>
      <c r="AG60" s="127">
        <f t="shared" si="14"/>
        <v>7500000</v>
      </c>
      <c r="AH60" s="127">
        <f t="shared" si="15"/>
        <v>0</v>
      </c>
      <c r="AI60" s="127">
        <v>7500000</v>
      </c>
      <c r="AJ60" s="127"/>
      <c r="AK60" s="127">
        <v>7500000</v>
      </c>
      <c r="AL60" s="166"/>
      <c r="AM60" s="166">
        <v>7500000</v>
      </c>
      <c r="AN60" s="301">
        <f t="shared" si="12"/>
        <v>6320300.29</v>
      </c>
    </row>
    <row r="61" spans="1:40" s="26" customFormat="1" ht="15.75">
      <c r="A61" s="259">
        <v>3501</v>
      </c>
      <c r="B61" s="260" t="s">
        <v>202</v>
      </c>
      <c r="C61" s="197">
        <v>7273.2</v>
      </c>
      <c r="D61" s="197">
        <v>11459.5</v>
      </c>
      <c r="E61" s="197">
        <v>2830.5</v>
      </c>
      <c r="F61" s="197">
        <v>30441.91</v>
      </c>
      <c r="G61" s="197">
        <v>7370.88</v>
      </c>
      <c r="H61" s="197">
        <v>14292.53</v>
      </c>
      <c r="I61" s="197">
        <v>4075.29</v>
      </c>
      <c r="J61" s="197">
        <v>1552.28</v>
      </c>
      <c r="K61" s="197">
        <v>1492.8</v>
      </c>
      <c r="L61" s="197">
        <v>5764.4</v>
      </c>
      <c r="M61" s="197"/>
      <c r="N61" s="197"/>
      <c r="O61" s="197">
        <v>86553.29</v>
      </c>
      <c r="P61" s="197">
        <v>161896</v>
      </c>
      <c r="Q61" s="197">
        <v>75342.71</v>
      </c>
      <c r="R61" s="261">
        <v>0.46537721747294564</v>
      </c>
      <c r="S61" s="34"/>
      <c r="T61" s="259">
        <v>3501</v>
      </c>
      <c r="U61" s="260" t="s">
        <v>202</v>
      </c>
      <c r="V61" s="197">
        <v>5764.4</v>
      </c>
      <c r="W61" s="262">
        <v>0.00017473341468032035</v>
      </c>
      <c r="X61" s="197">
        <v>8333</v>
      </c>
      <c r="Y61" s="277">
        <v>2568.6000000000004</v>
      </c>
      <c r="Z61" s="263">
        <v>0.308244329773191</v>
      </c>
      <c r="AB61" s="259">
        <v>3501</v>
      </c>
      <c r="AC61" s="260" t="s">
        <v>202</v>
      </c>
      <c r="AD61" s="264">
        <f t="shared" si="13"/>
        <v>86553.29</v>
      </c>
      <c r="AE61" s="264">
        <v>128566</v>
      </c>
      <c r="AF61" s="265"/>
      <c r="AG61" s="264">
        <f t="shared" si="14"/>
        <v>128566</v>
      </c>
      <c r="AH61" s="264">
        <f t="shared" si="15"/>
        <v>0</v>
      </c>
      <c r="AI61" s="264">
        <v>128566</v>
      </c>
      <c r="AJ61" s="264"/>
      <c r="AK61" s="264">
        <v>128566</v>
      </c>
      <c r="AL61" s="293">
        <v>50000</v>
      </c>
      <c r="AM61" s="293">
        <v>178566</v>
      </c>
      <c r="AN61" s="294">
        <f t="shared" si="12"/>
        <v>92012.71</v>
      </c>
    </row>
    <row r="62" spans="1:40" ht="15.75">
      <c r="A62" s="35">
        <v>3502</v>
      </c>
      <c r="B62" s="30" t="s">
        <v>203</v>
      </c>
      <c r="C62" s="16"/>
      <c r="D62" s="16">
        <v>6807.9</v>
      </c>
      <c r="E62" s="16"/>
      <c r="F62" s="16"/>
      <c r="G62" s="16"/>
      <c r="H62" s="16">
        <v>4712.96</v>
      </c>
      <c r="I62" s="16">
        <v>87175.96</v>
      </c>
      <c r="J62" s="16">
        <v>154760.56</v>
      </c>
      <c r="K62" s="16">
        <v>0</v>
      </c>
      <c r="L62" s="16">
        <v>244.91</v>
      </c>
      <c r="M62" s="16"/>
      <c r="N62" s="16"/>
      <c r="O62" s="16">
        <v>253702.29</v>
      </c>
      <c r="P62" s="16">
        <v>291670</v>
      </c>
      <c r="Q62" s="16">
        <v>37967.70999999999</v>
      </c>
      <c r="R62" s="149">
        <v>0.1301735180169369</v>
      </c>
      <c r="S62" s="34"/>
      <c r="T62" s="35">
        <v>3502</v>
      </c>
      <c r="U62" s="30" t="s">
        <v>203</v>
      </c>
      <c r="V62" s="16">
        <v>244.91</v>
      </c>
      <c r="W62" s="175">
        <v>7.423836060883571E-06</v>
      </c>
      <c r="X62" s="16">
        <v>29167</v>
      </c>
      <c r="Y62" s="161">
        <v>28922.09</v>
      </c>
      <c r="Z62" s="37">
        <v>0.9916031816779237</v>
      </c>
      <c r="AB62" s="35">
        <v>3502</v>
      </c>
      <c r="AC62" s="30" t="s">
        <v>203</v>
      </c>
      <c r="AD62" s="127">
        <f t="shared" si="13"/>
        <v>253702.29</v>
      </c>
      <c r="AE62" s="127">
        <v>350000</v>
      </c>
      <c r="AF62" s="166"/>
      <c r="AG62" s="127">
        <f t="shared" si="14"/>
        <v>350000</v>
      </c>
      <c r="AH62" s="127">
        <f t="shared" si="15"/>
        <v>0</v>
      </c>
      <c r="AI62" s="127">
        <v>350000</v>
      </c>
      <c r="AJ62" s="127"/>
      <c r="AK62" s="127">
        <v>350000</v>
      </c>
      <c r="AL62" s="166"/>
      <c r="AM62" s="166">
        <v>350000</v>
      </c>
      <c r="AN62" s="301">
        <f t="shared" si="12"/>
        <v>96297.70999999999</v>
      </c>
    </row>
    <row r="63" spans="1:40" s="26" customFormat="1" ht="15.75">
      <c r="A63" s="259">
        <v>3503</v>
      </c>
      <c r="B63" s="260" t="s">
        <v>204</v>
      </c>
      <c r="C63" s="197">
        <v>157819.45</v>
      </c>
      <c r="D63" s="197">
        <v>31495.15</v>
      </c>
      <c r="E63" s="197">
        <v>112903.88</v>
      </c>
      <c r="F63" s="197">
        <v>129821.65</v>
      </c>
      <c r="G63" s="197">
        <v>153645.99</v>
      </c>
      <c r="H63" s="197">
        <v>144850.14</v>
      </c>
      <c r="I63" s="197">
        <v>126954.37</v>
      </c>
      <c r="J63" s="197">
        <v>118775.63</v>
      </c>
      <c r="K63" s="197">
        <v>123492.91</v>
      </c>
      <c r="L63" s="197">
        <v>53225.97</v>
      </c>
      <c r="M63" s="197"/>
      <c r="N63" s="197"/>
      <c r="O63" s="197">
        <v>1152985.14</v>
      </c>
      <c r="P63" s="197">
        <v>1640821</v>
      </c>
      <c r="Q63" s="197">
        <v>487835.8600000001</v>
      </c>
      <c r="R63" s="261">
        <v>0.29731205292960056</v>
      </c>
      <c r="S63" s="34"/>
      <c r="T63" s="259">
        <v>3503</v>
      </c>
      <c r="U63" s="260" t="s">
        <v>204</v>
      </c>
      <c r="V63" s="197">
        <v>53225.97</v>
      </c>
      <c r="W63" s="262">
        <v>0.0016134125820158717</v>
      </c>
      <c r="X63" s="197">
        <v>20432</v>
      </c>
      <c r="Y63" s="277">
        <v>-32793.97</v>
      </c>
      <c r="Z63" s="263">
        <v>-1.605029855129209</v>
      </c>
      <c r="AB63" s="259">
        <v>3503</v>
      </c>
      <c r="AC63" s="260" t="s">
        <v>204</v>
      </c>
      <c r="AD63" s="264">
        <f t="shared" si="13"/>
        <v>1152985.14</v>
      </c>
      <c r="AE63" s="264">
        <v>4481682</v>
      </c>
      <c r="AF63" s="265"/>
      <c r="AG63" s="264">
        <f t="shared" si="14"/>
        <v>4481682</v>
      </c>
      <c r="AH63" s="264">
        <f t="shared" si="15"/>
        <v>0</v>
      </c>
      <c r="AI63" s="264">
        <v>4481682</v>
      </c>
      <c r="AJ63" s="264"/>
      <c r="AK63" s="264">
        <v>4481682</v>
      </c>
      <c r="AL63" s="293">
        <v>-2800000</v>
      </c>
      <c r="AM63" s="293">
        <v>1681682</v>
      </c>
      <c r="AN63" s="294">
        <f t="shared" si="12"/>
        <v>528696.8600000001</v>
      </c>
    </row>
    <row r="64" spans="1:40" ht="18" customHeight="1">
      <c r="A64" s="35">
        <v>3504</v>
      </c>
      <c r="B64" s="30" t="s">
        <v>205</v>
      </c>
      <c r="C64" s="16">
        <v>686579.4</v>
      </c>
      <c r="D64" s="16">
        <v>43795.62</v>
      </c>
      <c r="E64" s="16">
        <v>68532.2</v>
      </c>
      <c r="F64" s="16">
        <v>769521.76</v>
      </c>
      <c r="G64" s="16">
        <v>139866.17</v>
      </c>
      <c r="H64" s="16">
        <v>114432.19</v>
      </c>
      <c r="I64" s="16">
        <v>89208.8</v>
      </c>
      <c r="J64" s="16">
        <v>111135.64</v>
      </c>
      <c r="K64" s="16">
        <v>28212.63</v>
      </c>
      <c r="L64" s="16">
        <v>187782.89</v>
      </c>
      <c r="M64" s="16"/>
      <c r="N64" s="16"/>
      <c r="O64" s="16">
        <v>2239067.3</v>
      </c>
      <c r="P64" s="16">
        <v>2386660</v>
      </c>
      <c r="Q64" s="16">
        <v>147592.7000000002</v>
      </c>
      <c r="R64" s="149">
        <v>0.06184068949913276</v>
      </c>
      <c r="S64" s="34"/>
      <c r="T64" s="35">
        <v>3504</v>
      </c>
      <c r="U64" s="30" t="s">
        <v>205</v>
      </c>
      <c r="V64" s="16">
        <v>187782.89</v>
      </c>
      <c r="W64" s="175">
        <v>0.005692170145763477</v>
      </c>
      <c r="X64" s="16">
        <v>24166</v>
      </c>
      <c r="Y64" s="161">
        <v>-163616.89</v>
      </c>
      <c r="Z64" s="37">
        <v>-6.7705408425060005</v>
      </c>
      <c r="AB64" s="35">
        <v>3504</v>
      </c>
      <c r="AC64" s="30" t="s">
        <v>205</v>
      </c>
      <c r="AD64" s="127">
        <f t="shared" si="13"/>
        <v>2239067.3</v>
      </c>
      <c r="AE64" s="127">
        <v>1435004</v>
      </c>
      <c r="AF64" s="166"/>
      <c r="AG64" s="127">
        <f t="shared" si="14"/>
        <v>1435004</v>
      </c>
      <c r="AH64" s="127">
        <f t="shared" si="15"/>
        <v>0</v>
      </c>
      <c r="AI64" s="127">
        <v>1435004</v>
      </c>
      <c r="AJ64" s="127"/>
      <c r="AK64" s="127">
        <v>1435004</v>
      </c>
      <c r="AL64" s="166">
        <v>1000000</v>
      </c>
      <c r="AM64" s="166">
        <v>2435004</v>
      </c>
      <c r="AN64" s="301">
        <f t="shared" si="12"/>
        <v>195936.7000000002</v>
      </c>
    </row>
    <row r="65" spans="1:40" s="26" customFormat="1" ht="15.75">
      <c r="A65" s="259" t="s">
        <v>212</v>
      </c>
      <c r="B65" s="260" t="s">
        <v>79</v>
      </c>
      <c r="C65" s="197">
        <v>4476.05</v>
      </c>
      <c r="D65" s="197">
        <v>13763.79</v>
      </c>
      <c r="E65" s="197">
        <v>15552.8</v>
      </c>
      <c r="F65" s="197">
        <v>31540.28</v>
      </c>
      <c r="G65" s="197">
        <v>33160.96</v>
      </c>
      <c r="H65" s="197">
        <v>9386.53</v>
      </c>
      <c r="I65" s="197">
        <v>46424.74</v>
      </c>
      <c r="J65" s="197">
        <v>36867.9</v>
      </c>
      <c r="K65" s="197">
        <v>18931.71</v>
      </c>
      <c r="L65" s="197">
        <v>21845.05</v>
      </c>
      <c r="M65" s="197"/>
      <c r="N65" s="197"/>
      <c r="O65" s="197">
        <v>231949.80999999997</v>
      </c>
      <c r="P65" s="197">
        <v>162500</v>
      </c>
      <c r="Q65" s="197">
        <v>-69449.80999999997</v>
      </c>
      <c r="R65" s="261">
        <v>-0.42738344615384594</v>
      </c>
      <c r="S65" s="34"/>
      <c r="T65" s="259" t="s">
        <v>212</v>
      </c>
      <c r="U65" s="260" t="s">
        <v>79</v>
      </c>
      <c r="V65" s="197">
        <v>21845.05</v>
      </c>
      <c r="W65" s="262">
        <v>0.0006621782284994679</v>
      </c>
      <c r="X65" s="197">
        <v>6250</v>
      </c>
      <c r="Y65" s="277">
        <v>-15595.05</v>
      </c>
      <c r="Z65" s="263">
        <v>-2.495208</v>
      </c>
      <c r="AB65" s="259" t="s">
        <v>212</v>
      </c>
      <c r="AC65" s="260" t="s">
        <v>79</v>
      </c>
      <c r="AD65" s="264">
        <f t="shared" si="13"/>
        <v>231949.80999999997</v>
      </c>
      <c r="AE65" s="264">
        <v>75000</v>
      </c>
      <c r="AF65" s="265"/>
      <c r="AG65" s="264">
        <f t="shared" si="14"/>
        <v>75000</v>
      </c>
      <c r="AH65" s="264">
        <f t="shared" si="15"/>
        <v>0</v>
      </c>
      <c r="AI65" s="264">
        <v>75000</v>
      </c>
      <c r="AJ65" s="264"/>
      <c r="AK65" s="264">
        <v>75000</v>
      </c>
      <c r="AL65" s="293">
        <v>100000</v>
      </c>
      <c r="AM65" s="293">
        <v>175000</v>
      </c>
      <c r="AN65" s="294">
        <f t="shared" si="12"/>
        <v>-56949.80999999997</v>
      </c>
    </row>
    <row r="66" spans="1:40" ht="18" customHeight="1">
      <c r="A66" s="35">
        <v>3601</v>
      </c>
      <c r="B66" s="30" t="s">
        <v>80</v>
      </c>
      <c r="C66" s="16">
        <v>567557.99</v>
      </c>
      <c r="D66" s="16">
        <v>1154383.6</v>
      </c>
      <c r="E66" s="16">
        <v>1641226.38</v>
      </c>
      <c r="F66" s="16">
        <v>2021720.81</v>
      </c>
      <c r="G66" s="16">
        <v>5024650.83</v>
      </c>
      <c r="H66" s="16">
        <v>11363436.01</v>
      </c>
      <c r="I66" s="16">
        <v>4384132.38</v>
      </c>
      <c r="J66" s="16">
        <v>3580529.11</v>
      </c>
      <c r="K66" s="16">
        <v>590244.95</v>
      </c>
      <c r="L66" s="16">
        <v>1349849.67</v>
      </c>
      <c r="M66" s="16"/>
      <c r="N66" s="16"/>
      <c r="O66" s="16">
        <v>31677731.729999997</v>
      </c>
      <c r="P66" s="16">
        <v>33202782</v>
      </c>
      <c r="Q66" s="16">
        <v>1525050.2700000033</v>
      </c>
      <c r="R66" s="149">
        <v>0.04593140026639946</v>
      </c>
      <c r="S66" s="34"/>
      <c r="T66" s="35">
        <v>3601</v>
      </c>
      <c r="U66" s="30" t="s">
        <v>80</v>
      </c>
      <c r="V66" s="16">
        <v>1349849.67</v>
      </c>
      <c r="W66" s="175">
        <v>0.04091732741381646</v>
      </c>
      <c r="X66" s="16">
        <v>83945</v>
      </c>
      <c r="Y66" s="161">
        <v>-1265904.67</v>
      </c>
      <c r="Z66" s="37">
        <v>-15.080167609744475</v>
      </c>
      <c r="AB66" s="35">
        <v>3601</v>
      </c>
      <c r="AC66" s="30" t="s">
        <v>80</v>
      </c>
      <c r="AD66" s="127">
        <f t="shared" si="13"/>
        <v>31677731.729999997</v>
      </c>
      <c r="AE66" s="127">
        <v>29588974</v>
      </c>
      <c r="AF66" s="166">
        <v>-9700506</v>
      </c>
      <c r="AG66" s="127">
        <f t="shared" si="14"/>
        <v>19888468</v>
      </c>
      <c r="AH66" s="166">
        <f t="shared" si="15"/>
        <v>-7517798</v>
      </c>
      <c r="AI66" s="127">
        <v>12370670</v>
      </c>
      <c r="AJ66" s="127"/>
      <c r="AK66" s="127">
        <v>12370670</v>
      </c>
      <c r="AL66" s="166">
        <v>21000000</v>
      </c>
      <c r="AM66" s="166">
        <v>33370670</v>
      </c>
      <c r="AN66" s="301">
        <f t="shared" si="12"/>
        <v>1692938.2700000033</v>
      </c>
    </row>
    <row r="67" spans="1:40" s="26" customFormat="1" ht="15.75">
      <c r="A67" s="259">
        <v>3602</v>
      </c>
      <c r="B67" s="260" t="s">
        <v>81</v>
      </c>
      <c r="C67" s="197">
        <v>19174.8</v>
      </c>
      <c r="D67" s="197">
        <v>13111.48</v>
      </c>
      <c r="E67" s="197">
        <v>32025.28</v>
      </c>
      <c r="F67" s="197">
        <v>11098047.08</v>
      </c>
      <c r="G67" s="197">
        <v>117794.52</v>
      </c>
      <c r="H67" s="197">
        <v>11975942.14</v>
      </c>
      <c r="I67" s="197">
        <v>145923.94</v>
      </c>
      <c r="J67" s="197">
        <v>192802.08</v>
      </c>
      <c r="K67" s="197">
        <v>3306</v>
      </c>
      <c r="L67" s="197">
        <v>7917</v>
      </c>
      <c r="M67" s="197"/>
      <c r="N67" s="197"/>
      <c r="O67" s="197">
        <v>23606044.32</v>
      </c>
      <c r="P67" s="197">
        <v>23696934</v>
      </c>
      <c r="Q67" s="197">
        <v>90889.6799999997</v>
      </c>
      <c r="R67" s="261">
        <v>0.003835503782894433</v>
      </c>
      <c r="S67" s="34"/>
      <c r="T67" s="259">
        <v>3602</v>
      </c>
      <c r="U67" s="260" t="s">
        <v>81</v>
      </c>
      <c r="V67" s="197">
        <v>7917</v>
      </c>
      <c r="W67" s="262">
        <v>0.00023998411699814313</v>
      </c>
      <c r="X67" s="197">
        <v>8333</v>
      </c>
      <c r="Y67" s="277">
        <v>416</v>
      </c>
      <c r="Z67" s="263">
        <v>0.0499219968798752</v>
      </c>
      <c r="AB67" s="259">
        <v>3602</v>
      </c>
      <c r="AC67" s="260" t="s">
        <v>81</v>
      </c>
      <c r="AD67" s="264">
        <f t="shared" si="13"/>
        <v>23606044.32</v>
      </c>
      <c r="AE67" s="264">
        <v>3550000</v>
      </c>
      <c r="AF67" s="265">
        <v>25163604</v>
      </c>
      <c r="AG67" s="264">
        <f t="shared" si="14"/>
        <v>28713604</v>
      </c>
      <c r="AH67" s="264">
        <f t="shared" si="15"/>
        <v>0</v>
      </c>
      <c r="AI67" s="264">
        <v>28713604</v>
      </c>
      <c r="AJ67" s="264"/>
      <c r="AK67" s="264">
        <v>28713604</v>
      </c>
      <c r="AL67" s="293">
        <v>-5000000</v>
      </c>
      <c r="AM67" s="293">
        <v>23713604</v>
      </c>
      <c r="AN67" s="294">
        <f t="shared" si="12"/>
        <v>107559.6799999997</v>
      </c>
    </row>
    <row r="68" spans="1:40" ht="18" customHeight="1">
      <c r="A68" s="35">
        <v>3604</v>
      </c>
      <c r="B68" s="30" t="s">
        <v>19</v>
      </c>
      <c r="C68" s="16">
        <v>234595.77</v>
      </c>
      <c r="D68" s="16">
        <v>127639.18</v>
      </c>
      <c r="E68" s="16">
        <v>249787.02</v>
      </c>
      <c r="F68" s="16">
        <v>505138.41</v>
      </c>
      <c r="G68" s="16">
        <v>657410.98</v>
      </c>
      <c r="H68" s="16">
        <v>660107.35</v>
      </c>
      <c r="I68" s="16">
        <v>325048.78</v>
      </c>
      <c r="J68" s="16">
        <v>314863.42</v>
      </c>
      <c r="K68" s="16">
        <v>273198.87</v>
      </c>
      <c r="L68" s="16">
        <v>181158.87</v>
      </c>
      <c r="M68" s="16"/>
      <c r="N68" s="16"/>
      <c r="O68" s="16">
        <v>3528948.6500000004</v>
      </c>
      <c r="P68" s="16">
        <v>3716670</v>
      </c>
      <c r="Q68" s="16">
        <v>187721.34999999963</v>
      </c>
      <c r="R68" s="149">
        <v>0.05050794124848308</v>
      </c>
      <c r="S68" s="34"/>
      <c r="T68" s="35">
        <v>3604</v>
      </c>
      <c r="U68" s="30" t="s">
        <v>19</v>
      </c>
      <c r="V68" s="16">
        <v>181158.87</v>
      </c>
      <c r="W68" s="175">
        <v>0.005491379493915802</v>
      </c>
      <c r="X68" s="16">
        <v>141667</v>
      </c>
      <c r="Y68" s="161">
        <v>-39491.869999999995</v>
      </c>
      <c r="Z68" s="37">
        <v>-0.2787654852576817</v>
      </c>
      <c r="AB68" s="35">
        <v>3604</v>
      </c>
      <c r="AC68" s="30" t="s">
        <v>19</v>
      </c>
      <c r="AD68" s="127">
        <f t="shared" si="13"/>
        <v>3528948.6500000004</v>
      </c>
      <c r="AE68" s="127">
        <v>2300000</v>
      </c>
      <c r="AF68" s="166"/>
      <c r="AG68" s="127">
        <f t="shared" si="14"/>
        <v>2300000</v>
      </c>
      <c r="AH68" s="127">
        <f t="shared" si="15"/>
        <v>0</v>
      </c>
      <c r="AI68" s="127">
        <v>2300000</v>
      </c>
      <c r="AJ68" s="127"/>
      <c r="AK68" s="127">
        <v>2300000</v>
      </c>
      <c r="AL68" s="166">
        <v>1700000</v>
      </c>
      <c r="AM68" s="166">
        <v>4000000</v>
      </c>
      <c r="AN68" s="301">
        <f t="shared" si="12"/>
        <v>471051.3499999996</v>
      </c>
    </row>
    <row r="69" spans="1:40" s="26" customFormat="1" ht="15.75">
      <c r="A69" s="259">
        <v>3701</v>
      </c>
      <c r="B69" s="260" t="s">
        <v>20</v>
      </c>
      <c r="C69" s="197">
        <v>33831</v>
      </c>
      <c r="D69" s="197">
        <v>40593</v>
      </c>
      <c r="E69" s="197">
        <v>78939.56</v>
      </c>
      <c r="F69" s="197">
        <v>61376.79</v>
      </c>
      <c r="G69" s="197">
        <v>96836.15</v>
      </c>
      <c r="H69" s="197">
        <v>128879.22</v>
      </c>
      <c r="I69" s="197">
        <v>71665.06</v>
      </c>
      <c r="J69" s="197">
        <v>90724.5</v>
      </c>
      <c r="K69" s="197">
        <v>67887.07</v>
      </c>
      <c r="L69" s="197">
        <v>169013.46</v>
      </c>
      <c r="M69" s="197"/>
      <c r="N69" s="197"/>
      <c r="O69" s="197">
        <v>839745.81</v>
      </c>
      <c r="P69" s="197">
        <v>822691</v>
      </c>
      <c r="Q69" s="197">
        <v>-17054.810000000056</v>
      </c>
      <c r="R69" s="261">
        <v>-0.02073051729020988</v>
      </c>
      <c r="S69" s="34"/>
      <c r="T69" s="259">
        <v>3701</v>
      </c>
      <c r="U69" s="260" t="s">
        <v>20</v>
      </c>
      <c r="V69" s="197">
        <v>169013.46</v>
      </c>
      <c r="W69" s="262">
        <v>0.0051232216696856115</v>
      </c>
      <c r="X69" s="197">
        <v>117678</v>
      </c>
      <c r="Y69" s="197">
        <v>-51335.45999999999</v>
      </c>
      <c r="Z69" s="263">
        <v>-0.43623667975322483</v>
      </c>
      <c r="AB69" s="259">
        <v>3701</v>
      </c>
      <c r="AC69" s="260" t="s">
        <v>20</v>
      </c>
      <c r="AD69" s="264">
        <f t="shared" si="13"/>
        <v>839745.81</v>
      </c>
      <c r="AE69" s="264">
        <v>1376561</v>
      </c>
      <c r="AF69" s="265">
        <v>-14200</v>
      </c>
      <c r="AG69" s="264">
        <f t="shared" si="14"/>
        <v>1362361</v>
      </c>
      <c r="AH69" s="264">
        <f t="shared" si="15"/>
        <v>0</v>
      </c>
      <c r="AI69" s="264">
        <v>1362361</v>
      </c>
      <c r="AJ69" s="264"/>
      <c r="AK69" s="264">
        <v>1362361</v>
      </c>
      <c r="AL69" s="293">
        <v>-350000</v>
      </c>
      <c r="AM69" s="293">
        <v>1012361</v>
      </c>
      <c r="AN69" s="294">
        <f t="shared" si="12"/>
        <v>172615.18999999994</v>
      </c>
    </row>
    <row r="70" spans="1:40" ht="18" customHeight="1">
      <c r="A70" s="35">
        <v>3702</v>
      </c>
      <c r="B70" s="30" t="s">
        <v>21</v>
      </c>
      <c r="C70" s="16">
        <v>53892.46</v>
      </c>
      <c r="D70" s="16">
        <v>59977.08</v>
      </c>
      <c r="E70" s="16">
        <v>211521.2</v>
      </c>
      <c r="F70" s="16">
        <v>136195.18</v>
      </c>
      <c r="G70" s="16">
        <v>181034.02</v>
      </c>
      <c r="H70" s="16">
        <v>352409.05</v>
      </c>
      <c r="I70" s="16">
        <v>141041.68</v>
      </c>
      <c r="J70" s="16">
        <v>197571.35</v>
      </c>
      <c r="K70" s="16">
        <v>118053.69</v>
      </c>
      <c r="L70" s="16">
        <v>171765.11</v>
      </c>
      <c r="M70" s="16"/>
      <c r="N70" s="16"/>
      <c r="O70" s="16">
        <v>1623460.8199999998</v>
      </c>
      <c r="P70" s="16">
        <v>1868628</v>
      </c>
      <c r="Q70" s="16">
        <v>245167.18000000017</v>
      </c>
      <c r="R70" s="149">
        <v>0.13120170520831337</v>
      </c>
      <c r="S70" s="34"/>
      <c r="T70" s="35">
        <v>3702</v>
      </c>
      <c r="U70" s="30" t="s">
        <v>21</v>
      </c>
      <c r="V70" s="16">
        <v>171765.11</v>
      </c>
      <c r="W70" s="175">
        <v>0.005206631079252106</v>
      </c>
      <c r="X70" s="16">
        <v>373939</v>
      </c>
      <c r="Y70" s="161">
        <v>202173.89</v>
      </c>
      <c r="Z70" s="37">
        <v>0.5406600809222895</v>
      </c>
      <c r="AB70" s="35">
        <v>3702</v>
      </c>
      <c r="AC70" s="30" t="s">
        <v>21</v>
      </c>
      <c r="AD70" s="127">
        <f t="shared" si="13"/>
        <v>1623460.8199999998</v>
      </c>
      <c r="AE70" s="127">
        <v>4008872</v>
      </c>
      <c r="AF70" s="166">
        <v>-827099</v>
      </c>
      <c r="AG70" s="127">
        <f t="shared" si="14"/>
        <v>3181773</v>
      </c>
      <c r="AH70" s="127">
        <f t="shared" si="15"/>
        <v>0</v>
      </c>
      <c r="AI70" s="127">
        <v>3181773</v>
      </c>
      <c r="AJ70" s="127"/>
      <c r="AK70" s="127">
        <v>3181773</v>
      </c>
      <c r="AL70" s="166">
        <v>-1000000</v>
      </c>
      <c r="AM70" s="166">
        <v>2181773</v>
      </c>
      <c r="AN70" s="301">
        <f t="shared" si="12"/>
        <v>558312.1800000002</v>
      </c>
    </row>
    <row r="71" spans="1:40" s="26" customFormat="1" ht="15.75">
      <c r="A71" s="259">
        <v>3802</v>
      </c>
      <c r="B71" s="260" t="s">
        <v>82</v>
      </c>
      <c r="C71" s="197"/>
      <c r="D71" s="197">
        <v>4987</v>
      </c>
      <c r="E71" s="197">
        <v>228440.38</v>
      </c>
      <c r="F71" s="197">
        <v>78304.49</v>
      </c>
      <c r="G71" s="197">
        <v>200724.32</v>
      </c>
      <c r="H71" s="197">
        <v>156947.5</v>
      </c>
      <c r="I71" s="197">
        <v>355531.55</v>
      </c>
      <c r="J71" s="197">
        <v>73929.49</v>
      </c>
      <c r="K71" s="197">
        <v>180999</v>
      </c>
      <c r="L71" s="197">
        <v>114703</v>
      </c>
      <c r="M71" s="197"/>
      <c r="N71" s="197"/>
      <c r="O71" s="197">
        <v>1394566.73</v>
      </c>
      <c r="P71" s="197">
        <v>1698136</v>
      </c>
      <c r="Q71" s="197">
        <v>303569.27</v>
      </c>
      <c r="R71" s="261">
        <v>0.17876617067184256</v>
      </c>
      <c r="S71" s="34"/>
      <c r="T71" s="259">
        <v>3802</v>
      </c>
      <c r="U71" s="260" t="s">
        <v>82</v>
      </c>
      <c r="V71" s="197">
        <v>114703</v>
      </c>
      <c r="W71" s="262">
        <v>0.003476935477079451</v>
      </c>
      <c r="X71" s="197">
        <v>63245</v>
      </c>
      <c r="Y71" s="197">
        <v>-51458</v>
      </c>
      <c r="Z71" s="263">
        <v>-0.8136295359316942</v>
      </c>
      <c r="AB71" s="259">
        <v>3802</v>
      </c>
      <c r="AC71" s="260" t="s">
        <v>82</v>
      </c>
      <c r="AD71" s="264">
        <f t="shared" si="13"/>
        <v>1394566.73</v>
      </c>
      <c r="AE71" s="264">
        <v>2544625</v>
      </c>
      <c r="AF71" s="265"/>
      <c r="AG71" s="264">
        <f t="shared" si="14"/>
        <v>2544625</v>
      </c>
      <c r="AH71" s="264">
        <f t="shared" si="15"/>
        <v>0</v>
      </c>
      <c r="AI71" s="264">
        <v>2544625</v>
      </c>
      <c r="AJ71" s="264"/>
      <c r="AK71" s="264">
        <v>2544625</v>
      </c>
      <c r="AL71" s="293">
        <v>-500000</v>
      </c>
      <c r="AM71" s="293">
        <v>2044625</v>
      </c>
      <c r="AN71" s="294">
        <f t="shared" si="12"/>
        <v>650058.27</v>
      </c>
    </row>
    <row r="72" spans="1:40" ht="18" thickBot="1">
      <c r="A72" s="266">
        <v>3000</v>
      </c>
      <c r="B72" s="267" t="s">
        <v>22</v>
      </c>
      <c r="C72" s="268">
        <f>SUM(C44:C71)</f>
        <v>2978504</v>
      </c>
      <c r="D72" s="268">
        <f aca="true" t="shared" si="16" ref="D72:K72">SUM(D44:D71)</f>
        <v>5127703.95</v>
      </c>
      <c r="E72" s="268">
        <f t="shared" si="16"/>
        <v>6569730.819999999</v>
      </c>
      <c r="F72" s="268">
        <f t="shared" si="16"/>
        <v>18206303.97</v>
      </c>
      <c r="G72" s="268">
        <f t="shared" si="16"/>
        <v>9807070.49</v>
      </c>
      <c r="H72" s="268">
        <f t="shared" si="16"/>
        <v>28350007.23</v>
      </c>
      <c r="I72" s="268">
        <v>12879850.629999999</v>
      </c>
      <c r="J72" s="268">
        <f>SUM(J44:J71)</f>
        <v>7379136.47</v>
      </c>
      <c r="K72" s="268">
        <f t="shared" si="16"/>
        <v>3003594.909999999</v>
      </c>
      <c r="L72" s="268">
        <v>3477628.39</v>
      </c>
      <c r="M72" s="268">
        <v>0</v>
      </c>
      <c r="N72" s="268">
        <v>0</v>
      </c>
      <c r="O72" s="268">
        <v>97779530.86</v>
      </c>
      <c r="P72" s="268">
        <v>102991030</v>
      </c>
      <c r="Q72" s="268">
        <v>5211499.140000002</v>
      </c>
      <c r="R72" s="269">
        <v>0.050601485779878136</v>
      </c>
      <c r="S72" s="46"/>
      <c r="T72" s="266">
        <v>3000</v>
      </c>
      <c r="U72" s="267" t="s">
        <v>22</v>
      </c>
      <c r="V72" s="268">
        <v>3477628.39</v>
      </c>
      <c r="W72" s="270">
        <v>0.10541563451077735</v>
      </c>
      <c r="X72" s="268">
        <v>1779482</v>
      </c>
      <c r="Y72" s="278">
        <v>-1698146.3899999997</v>
      </c>
      <c r="Z72" s="271">
        <v>-0.9542925356929711</v>
      </c>
      <c r="AB72" s="266">
        <v>3000</v>
      </c>
      <c r="AC72" s="267" t="s">
        <v>22</v>
      </c>
      <c r="AD72" s="268">
        <f>SUM(AD44:AD71)</f>
        <v>97779530.86</v>
      </c>
      <c r="AE72" s="268">
        <f>SUM(AE44:AE71)</f>
        <v>89285338</v>
      </c>
      <c r="AF72" s="272">
        <f>SUM(AF44:AF71)</f>
        <v>30985299</v>
      </c>
      <c r="AG72" s="268">
        <f>SUM(AG44:AG71)-1</f>
        <v>120270636</v>
      </c>
      <c r="AH72" s="273">
        <f>SUM(AH44:AH71)</f>
        <v>-23676661</v>
      </c>
      <c r="AI72" s="268">
        <f>SUM(AI44:AI71)-1</f>
        <v>96593975</v>
      </c>
      <c r="AJ72" s="268">
        <v>0</v>
      </c>
      <c r="AK72" s="268">
        <v>96593975</v>
      </c>
      <c r="AL72" s="285">
        <v>16790000</v>
      </c>
      <c r="AM72" s="285">
        <v>113383975</v>
      </c>
      <c r="AN72" s="296">
        <f>SUM(AN44:AN71)</f>
        <v>15604445.140000002</v>
      </c>
    </row>
    <row r="73" spans="1:40" ht="13.5" customHeight="1" thickTop="1">
      <c r="A73" s="131"/>
      <c r="B73" s="132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51"/>
      <c r="S73" s="46"/>
      <c r="T73" s="131"/>
      <c r="U73" s="132"/>
      <c r="V73" s="133"/>
      <c r="W73" s="134"/>
      <c r="X73" s="133"/>
      <c r="Y73" s="135"/>
      <c r="Z73" s="136"/>
      <c r="AB73" s="131"/>
      <c r="AC73" s="132"/>
      <c r="AD73" s="137"/>
      <c r="AE73" s="137"/>
      <c r="AF73" s="137"/>
      <c r="AG73" s="137"/>
      <c r="AH73" s="137"/>
      <c r="AI73" s="137"/>
      <c r="AJ73" s="137"/>
      <c r="AK73" s="137"/>
      <c r="AL73" s="302"/>
      <c r="AM73" s="302"/>
      <c r="AN73" s="303"/>
    </row>
    <row r="74" spans="1:40" s="26" customFormat="1" ht="15.75">
      <c r="A74" s="259">
        <v>5101</v>
      </c>
      <c r="B74" s="260" t="s">
        <v>100</v>
      </c>
      <c r="C74" s="197">
        <v>14999</v>
      </c>
      <c r="D74" s="197">
        <v>2308.4</v>
      </c>
      <c r="E74" s="197">
        <v>5220</v>
      </c>
      <c r="F74" s="197">
        <v>55607.62</v>
      </c>
      <c r="G74" s="197"/>
      <c r="H74" s="197">
        <v>2199</v>
      </c>
      <c r="I74" s="197"/>
      <c r="J74" s="197">
        <v>6555.56</v>
      </c>
      <c r="K74" s="197">
        <v>6554</v>
      </c>
      <c r="L74" s="197">
        <v>3798</v>
      </c>
      <c r="M74" s="197"/>
      <c r="N74" s="197"/>
      <c r="O74" s="197">
        <v>97241.58</v>
      </c>
      <c r="P74" s="197">
        <v>225000</v>
      </c>
      <c r="Q74" s="197">
        <v>127758.42</v>
      </c>
      <c r="R74" s="261">
        <v>0.5678152</v>
      </c>
      <c r="S74" s="34"/>
      <c r="T74" s="259">
        <v>5101</v>
      </c>
      <c r="U74" s="260" t="s">
        <v>100</v>
      </c>
      <c r="V74" s="197">
        <v>3798</v>
      </c>
      <c r="W74" s="262">
        <v>0.00011512690114423995</v>
      </c>
      <c r="X74" s="197">
        <v>0</v>
      </c>
      <c r="Y74" s="277">
        <v>-3798</v>
      </c>
      <c r="Z74" s="263"/>
      <c r="AB74" s="259">
        <v>5101</v>
      </c>
      <c r="AC74" s="260" t="s">
        <v>100</v>
      </c>
      <c r="AD74" s="264">
        <f>+O74</f>
        <v>97241.58</v>
      </c>
      <c r="AE74" s="264">
        <v>225000</v>
      </c>
      <c r="AF74" s="265"/>
      <c r="AG74" s="264">
        <f aca="true" t="shared" si="17" ref="AG74:AG79">AE74+AF74</f>
        <v>225000</v>
      </c>
      <c r="AH74" s="264"/>
      <c r="AI74" s="264">
        <v>225000</v>
      </c>
      <c r="AJ74" s="264"/>
      <c r="AK74" s="264">
        <v>225000</v>
      </c>
      <c r="AL74" s="293"/>
      <c r="AM74" s="293">
        <v>225000</v>
      </c>
      <c r="AN74" s="294">
        <f>AM74-AD74</f>
        <v>127758.42</v>
      </c>
    </row>
    <row r="75" spans="1:40" ht="15.75">
      <c r="A75" s="35">
        <v>5102</v>
      </c>
      <c r="B75" s="31" t="s">
        <v>129</v>
      </c>
      <c r="C75" s="5"/>
      <c r="D75" s="5"/>
      <c r="E75" s="5">
        <v>23549.21</v>
      </c>
      <c r="F75" s="5">
        <v>234422.08</v>
      </c>
      <c r="G75" s="5">
        <v>133234.22</v>
      </c>
      <c r="H75" s="5">
        <v>171380.04</v>
      </c>
      <c r="I75" s="5">
        <v>6554</v>
      </c>
      <c r="J75" s="5">
        <v>18222.84</v>
      </c>
      <c r="K75" s="5"/>
      <c r="L75" s="5">
        <v>-6999</v>
      </c>
      <c r="M75" s="5"/>
      <c r="N75" s="5"/>
      <c r="O75" s="5">
        <v>580363.39</v>
      </c>
      <c r="P75" s="5">
        <v>608000</v>
      </c>
      <c r="Q75" s="16">
        <v>27636.609999999986</v>
      </c>
      <c r="R75" s="149">
        <v>0.04545495065789471</v>
      </c>
      <c r="S75" s="34"/>
      <c r="T75" s="35">
        <v>5102</v>
      </c>
      <c r="U75" s="31" t="s">
        <v>129</v>
      </c>
      <c r="V75" s="5">
        <v>-6999</v>
      </c>
      <c r="W75" s="172">
        <v>-0.00021215723567891926</v>
      </c>
      <c r="X75" s="5">
        <v>0</v>
      </c>
      <c r="Y75" s="16">
        <v>6999</v>
      </c>
      <c r="Z75" s="37"/>
      <c r="AB75" s="35">
        <v>5102</v>
      </c>
      <c r="AC75" s="31" t="s">
        <v>129</v>
      </c>
      <c r="AD75" s="126">
        <f>+O75</f>
        <v>580363.39</v>
      </c>
      <c r="AE75" s="126">
        <v>508000</v>
      </c>
      <c r="AF75" s="126"/>
      <c r="AG75" s="126">
        <f t="shared" si="17"/>
        <v>508000</v>
      </c>
      <c r="AH75" s="126"/>
      <c r="AI75" s="126">
        <v>508000</v>
      </c>
      <c r="AJ75" s="126"/>
      <c r="AK75" s="126">
        <v>508000</v>
      </c>
      <c r="AL75" s="304">
        <v>100000</v>
      </c>
      <c r="AM75" s="304">
        <v>608000</v>
      </c>
      <c r="AN75" s="305">
        <f>AM75-AD75</f>
        <v>27636.609999999986</v>
      </c>
    </row>
    <row r="76" spans="1:40" s="26" customFormat="1" ht="15.75">
      <c r="A76" s="259" t="s">
        <v>250</v>
      </c>
      <c r="B76" s="260" t="s">
        <v>251</v>
      </c>
      <c r="C76" s="197"/>
      <c r="D76" s="197"/>
      <c r="E76" s="197"/>
      <c r="F76" s="197">
        <v>94134</v>
      </c>
      <c r="G76" s="197"/>
      <c r="H76" s="197"/>
      <c r="I76" s="197"/>
      <c r="J76" s="197"/>
      <c r="K76" s="197"/>
      <c r="L76" s="197"/>
      <c r="M76" s="197"/>
      <c r="N76" s="197"/>
      <c r="O76" s="197">
        <v>94134</v>
      </c>
      <c r="P76" s="197">
        <v>205000</v>
      </c>
      <c r="Q76" s="197">
        <v>110866</v>
      </c>
      <c r="R76" s="261">
        <v>0.540809756097561</v>
      </c>
      <c r="S76" s="34"/>
      <c r="T76" s="259" t="s">
        <v>250</v>
      </c>
      <c r="U76" s="260" t="s">
        <v>251</v>
      </c>
      <c r="V76" s="197">
        <v>0</v>
      </c>
      <c r="W76" s="262">
        <v>0</v>
      </c>
      <c r="X76" s="197">
        <v>0</v>
      </c>
      <c r="Y76" s="197">
        <v>0</v>
      </c>
      <c r="Z76" s="263"/>
      <c r="AB76" s="259" t="s">
        <v>250</v>
      </c>
      <c r="AC76" s="260" t="s">
        <v>251</v>
      </c>
      <c r="AD76" s="264">
        <f>+O76</f>
        <v>94134</v>
      </c>
      <c r="AE76" s="264">
        <v>205000</v>
      </c>
      <c r="AF76" s="265"/>
      <c r="AG76" s="264">
        <f t="shared" si="17"/>
        <v>205000</v>
      </c>
      <c r="AH76" s="264"/>
      <c r="AI76" s="264">
        <v>205000</v>
      </c>
      <c r="AJ76" s="264"/>
      <c r="AK76" s="264">
        <v>205000</v>
      </c>
      <c r="AL76" s="293"/>
      <c r="AM76" s="293">
        <v>205000</v>
      </c>
      <c r="AN76" s="294">
        <f>AM76-AD76</f>
        <v>110866</v>
      </c>
    </row>
    <row r="77" spans="1:40" ht="15.75" hidden="1">
      <c r="A77" s="35" t="s">
        <v>255</v>
      </c>
      <c r="B77" s="30" t="s">
        <v>256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>
        <v>0</v>
      </c>
      <c r="Q77" s="16"/>
      <c r="R77" s="149"/>
      <c r="S77" s="34"/>
      <c r="T77" s="35" t="s">
        <v>255</v>
      </c>
      <c r="U77" s="30" t="s">
        <v>256</v>
      </c>
      <c r="V77" s="16">
        <v>0</v>
      </c>
      <c r="W77" s="176"/>
      <c r="X77" s="16">
        <v>0</v>
      </c>
      <c r="Y77" s="16">
        <v>0</v>
      </c>
      <c r="Z77" s="37"/>
      <c r="AB77" s="35" t="s">
        <v>255</v>
      </c>
      <c r="AC77" s="30" t="s">
        <v>256</v>
      </c>
      <c r="AD77" s="127">
        <f>+O77</f>
        <v>0</v>
      </c>
      <c r="AE77" s="127">
        <v>0</v>
      </c>
      <c r="AF77" s="127"/>
      <c r="AG77" s="127">
        <f t="shared" si="17"/>
        <v>0</v>
      </c>
      <c r="AH77" s="126"/>
      <c r="AI77" s="126">
        <f>AG77+AH77</f>
        <v>0</v>
      </c>
      <c r="AJ77" s="126"/>
      <c r="AK77" s="126">
        <v>0</v>
      </c>
      <c r="AL77" s="304"/>
      <c r="AM77" s="304">
        <v>0</v>
      </c>
      <c r="AN77" s="305">
        <f>AM77-AD77</f>
        <v>0</v>
      </c>
    </row>
    <row r="78" spans="1:40" s="26" customFormat="1" ht="15.75">
      <c r="A78" s="259">
        <v>5206</v>
      </c>
      <c r="B78" s="260" t="s">
        <v>83</v>
      </c>
      <c r="C78" s="197">
        <v>859395.28</v>
      </c>
      <c r="D78" s="197">
        <f>245511.58+897615.88</f>
        <v>1143127.46</v>
      </c>
      <c r="E78" s="197">
        <f>953358.61+279212</f>
        <v>1232570.6099999999</v>
      </c>
      <c r="F78" s="197">
        <f>15755615.21+379511.4</f>
        <v>16135126.610000001</v>
      </c>
      <c r="G78" s="197"/>
      <c r="H78" s="197">
        <f>31359.52+186720.04</f>
        <v>218079.56</v>
      </c>
      <c r="I78" s="197">
        <v>85315.87</v>
      </c>
      <c r="J78" s="16"/>
      <c r="K78" s="197"/>
      <c r="L78" s="197">
        <v>18263.56</v>
      </c>
      <c r="M78" s="197"/>
      <c r="N78" s="197"/>
      <c r="O78" s="197">
        <v>19691878.95</v>
      </c>
      <c r="P78" s="197">
        <v>20085500</v>
      </c>
      <c r="Q78" s="16">
        <v>393621.05000000075</v>
      </c>
      <c r="R78" s="149">
        <v>0.01959727415299598</v>
      </c>
      <c r="S78" s="34"/>
      <c r="T78" s="259">
        <v>5206</v>
      </c>
      <c r="U78" s="260" t="s">
        <v>83</v>
      </c>
      <c r="V78" s="16">
        <v>18263.56</v>
      </c>
      <c r="W78" s="262">
        <v>0.0005536142882206148</v>
      </c>
      <c r="X78" s="197">
        <v>91667</v>
      </c>
      <c r="Y78" s="197">
        <v>73403.44</v>
      </c>
      <c r="Z78" s="263">
        <v>0.8007618881385886</v>
      </c>
      <c r="AB78" s="259">
        <v>5206</v>
      </c>
      <c r="AC78" s="260" t="s">
        <v>83</v>
      </c>
      <c r="AD78" s="264">
        <f>+O78</f>
        <v>19691878.95</v>
      </c>
      <c r="AE78" s="264">
        <v>4543900</v>
      </c>
      <c r="AF78" s="265">
        <v>-450000</v>
      </c>
      <c r="AG78" s="264">
        <f t="shared" si="17"/>
        <v>4093900</v>
      </c>
      <c r="AH78" s="264">
        <f>AI78-AG78</f>
        <v>-300000</v>
      </c>
      <c r="AI78" s="264">
        <v>3793900</v>
      </c>
      <c r="AJ78" s="38">
        <v>14674930</v>
      </c>
      <c r="AK78" s="38">
        <v>18468830</v>
      </c>
      <c r="AL78" s="162">
        <v>1800000</v>
      </c>
      <c r="AM78" s="162">
        <v>20268830</v>
      </c>
      <c r="AN78" s="292">
        <f>AM78-AD78</f>
        <v>576951.0500000007</v>
      </c>
    </row>
    <row r="79" spans="1:40" ht="21.75" customHeight="1" hidden="1">
      <c r="A79" s="39" t="s">
        <v>142</v>
      </c>
      <c r="B79" s="40" t="s">
        <v>252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>
        <v>0</v>
      </c>
      <c r="P79" s="41">
        <v>0</v>
      </c>
      <c r="Q79" s="41">
        <v>0</v>
      </c>
      <c r="R79" s="150"/>
      <c r="S79" s="34"/>
      <c r="T79" s="39" t="s">
        <v>142</v>
      </c>
      <c r="U79" s="40" t="s">
        <v>252</v>
      </c>
      <c r="V79" s="41"/>
      <c r="W79" s="173"/>
      <c r="X79" s="41"/>
      <c r="Y79" s="164"/>
      <c r="Z79" s="43" t="s">
        <v>137</v>
      </c>
      <c r="AB79" s="39" t="s">
        <v>142</v>
      </c>
      <c r="AC79" s="40" t="s">
        <v>252</v>
      </c>
      <c r="AD79" s="125">
        <f>+V79</f>
        <v>0</v>
      </c>
      <c r="AE79" s="125">
        <v>0</v>
      </c>
      <c r="AF79" s="125"/>
      <c r="AG79" s="125">
        <f t="shared" si="17"/>
        <v>0</v>
      </c>
      <c r="AH79" s="125"/>
      <c r="AI79" s="125">
        <f>AG79+AH79</f>
        <v>0</v>
      </c>
      <c r="AJ79" s="125"/>
      <c r="AK79" s="125"/>
      <c r="AL79" s="306"/>
      <c r="AM79" s="306"/>
      <c r="AN79" s="307">
        <v>0</v>
      </c>
    </row>
    <row r="80" spans="1:40" ht="18" thickBot="1">
      <c r="A80" s="266">
        <v>5000</v>
      </c>
      <c r="B80" s="267" t="s">
        <v>126</v>
      </c>
      <c r="C80" s="268">
        <f aca="true" t="shared" si="18" ref="C80:K80">SUM(C74:C79)</f>
        <v>874394.28</v>
      </c>
      <c r="D80" s="268">
        <f t="shared" si="18"/>
        <v>1145435.8599999999</v>
      </c>
      <c r="E80" s="268">
        <f t="shared" si="18"/>
        <v>1261339.8199999998</v>
      </c>
      <c r="F80" s="268">
        <f t="shared" si="18"/>
        <v>16519290.31</v>
      </c>
      <c r="G80" s="268">
        <f t="shared" si="18"/>
        <v>133234.22</v>
      </c>
      <c r="H80" s="268">
        <f t="shared" si="18"/>
        <v>391658.6</v>
      </c>
      <c r="I80" s="268">
        <v>91869.87</v>
      </c>
      <c r="J80" s="268">
        <f>SUM(J74:J79)</f>
        <v>24778.4</v>
      </c>
      <c r="K80" s="268">
        <f t="shared" si="18"/>
        <v>6554</v>
      </c>
      <c r="L80" s="268">
        <v>15062.560000000001</v>
      </c>
      <c r="M80" s="268">
        <v>0</v>
      </c>
      <c r="N80" s="268">
        <v>0</v>
      </c>
      <c r="O80" s="268">
        <v>20463617.919999998</v>
      </c>
      <c r="P80" s="268">
        <v>21123500</v>
      </c>
      <c r="Q80" s="268">
        <v>659882.0800000008</v>
      </c>
      <c r="R80" s="269">
        <v>0.03123923970932851</v>
      </c>
      <c r="S80" s="46"/>
      <c r="T80" s="266">
        <v>5000</v>
      </c>
      <c r="U80" s="267" t="s">
        <v>126</v>
      </c>
      <c r="V80" s="268">
        <v>15062.560000000001</v>
      </c>
      <c r="W80" s="270">
        <v>0.0004565839536859355</v>
      </c>
      <c r="X80" s="268">
        <v>91667</v>
      </c>
      <c r="Y80" s="278">
        <v>76604.44</v>
      </c>
      <c r="Z80" s="271">
        <v>0.8356817611572321</v>
      </c>
      <c r="AB80" s="266">
        <v>5000</v>
      </c>
      <c r="AC80" s="267" t="s">
        <v>126</v>
      </c>
      <c r="AD80" s="268">
        <f aca="true" t="shared" si="19" ref="AD80:AI80">SUM(AD74:AD79)</f>
        <v>20463617.919999998</v>
      </c>
      <c r="AE80" s="268">
        <f t="shared" si="19"/>
        <v>5481900</v>
      </c>
      <c r="AF80" s="272">
        <f t="shared" si="19"/>
        <v>-450000</v>
      </c>
      <c r="AG80" s="268">
        <f t="shared" si="19"/>
        <v>5031900</v>
      </c>
      <c r="AH80" s="273">
        <f t="shared" si="19"/>
        <v>-300000</v>
      </c>
      <c r="AI80" s="268">
        <f t="shared" si="19"/>
        <v>4731900</v>
      </c>
      <c r="AJ80" s="268">
        <v>14674930</v>
      </c>
      <c r="AK80" s="268">
        <v>19406830</v>
      </c>
      <c r="AL80" s="285">
        <v>1900000</v>
      </c>
      <c r="AM80" s="285">
        <v>21306830</v>
      </c>
      <c r="AN80" s="296">
        <f>SUM(AN74:AN79)</f>
        <v>843212.0800000008</v>
      </c>
    </row>
    <row r="81" spans="1:40" ht="18.75" thickBot="1" thickTop="1">
      <c r="A81" s="266"/>
      <c r="B81" s="274" t="s">
        <v>122</v>
      </c>
      <c r="C81" s="268">
        <f aca="true" t="shared" si="20" ref="C81:H81">C80+C72+C42+C26</f>
        <v>20456544.990000002</v>
      </c>
      <c r="D81" s="268">
        <f t="shared" si="20"/>
        <v>35553401.6</v>
      </c>
      <c r="E81" s="268">
        <f t="shared" si="20"/>
        <v>46278818.97999999</v>
      </c>
      <c r="F81" s="268">
        <f t="shared" si="20"/>
        <v>102407669.48</v>
      </c>
      <c r="G81" s="268">
        <f t="shared" si="20"/>
        <v>49041163.269999996</v>
      </c>
      <c r="H81" s="268">
        <f t="shared" si="20"/>
        <v>112045957.50999999</v>
      </c>
      <c r="I81" s="268">
        <v>77749078.10999998</v>
      </c>
      <c r="J81" s="268">
        <f>J80+J72+J42+J26</f>
        <v>26263885.230000004</v>
      </c>
      <c r="K81" s="268">
        <f>K80+K72+K42+K26</f>
        <v>18833790.31</v>
      </c>
      <c r="L81" s="268">
        <v>17123093.74</v>
      </c>
      <c r="M81" s="268">
        <v>0</v>
      </c>
      <c r="N81" s="268">
        <v>0</v>
      </c>
      <c r="O81" s="268">
        <v>505753990.76</v>
      </c>
      <c r="P81" s="268">
        <v>512382464.60901886</v>
      </c>
      <c r="Q81" s="268">
        <v>6628473.849018853</v>
      </c>
      <c r="R81" s="269">
        <v>0.012936574349937618</v>
      </c>
      <c r="S81" s="46"/>
      <c r="T81" s="266"/>
      <c r="U81" s="274" t="s">
        <v>122</v>
      </c>
      <c r="V81" s="268">
        <v>17123093.74</v>
      </c>
      <c r="W81" s="270">
        <v>0.519043896863753</v>
      </c>
      <c r="X81" s="268">
        <v>14238227.367400842</v>
      </c>
      <c r="Y81" s="278">
        <v>-2884866.3725991547</v>
      </c>
      <c r="Z81" s="271">
        <v>-0.20261415260190363</v>
      </c>
      <c r="AB81" s="266"/>
      <c r="AC81" s="274" t="s">
        <v>122</v>
      </c>
      <c r="AD81" s="268">
        <f>AD80+AD72+AD42+AD26</f>
        <v>505753990.76</v>
      </c>
      <c r="AE81" s="268">
        <f>AE80+AE72+AE42+AE26</f>
        <v>551277408</v>
      </c>
      <c r="AF81" s="272">
        <f>AF80+AF72+AF42+AF26</f>
        <v>284088</v>
      </c>
      <c r="AG81" s="268">
        <f>AG80+AG72+AG42+AG26</f>
        <v>551561495</v>
      </c>
      <c r="AH81" s="273">
        <f>AH80+AH72+AH42+AH26-5</f>
        <v>0</v>
      </c>
      <c r="AI81" s="268">
        <f>AI80+AI72+AI42+AI26-5</f>
        <v>551561495</v>
      </c>
      <c r="AJ81" s="268">
        <v>14674930</v>
      </c>
      <c r="AK81" s="268">
        <v>566236425</v>
      </c>
      <c r="AL81" s="285">
        <v>0</v>
      </c>
      <c r="AM81" s="285">
        <v>566236425</v>
      </c>
      <c r="AN81" s="296">
        <f>AN80+AN72+AN42+AN26-6</f>
        <v>60482434.23999998</v>
      </c>
    </row>
    <row r="82" spans="1:40" ht="9" customHeight="1" thickTop="1">
      <c r="A82" s="131"/>
      <c r="B82" s="153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51"/>
      <c r="S82" s="46"/>
      <c r="T82" s="131"/>
      <c r="U82" s="153"/>
      <c r="V82" s="133"/>
      <c r="W82" s="134"/>
      <c r="X82" s="133"/>
      <c r="Y82" s="135"/>
      <c r="Z82" s="136"/>
      <c r="AB82" s="131"/>
      <c r="AC82" s="153"/>
      <c r="AD82" s="137"/>
      <c r="AE82" s="137"/>
      <c r="AF82" s="137"/>
      <c r="AG82" s="137"/>
      <c r="AH82" s="137"/>
      <c r="AI82" s="137"/>
      <c r="AJ82" s="137"/>
      <c r="AK82" s="137"/>
      <c r="AL82" s="302"/>
      <c r="AM82" s="302"/>
      <c r="AN82" s="303"/>
    </row>
    <row r="83" spans="1:40" s="26" customFormat="1" ht="15.75">
      <c r="A83" s="259" t="s">
        <v>144</v>
      </c>
      <c r="B83" s="260" t="s">
        <v>95</v>
      </c>
      <c r="C83" s="197">
        <v>15446521.76</v>
      </c>
      <c r="D83" s="197">
        <v>15446521.76</v>
      </c>
      <c r="E83" s="197">
        <v>15446521.76</v>
      </c>
      <c r="F83" s="197">
        <v>15446521</v>
      </c>
      <c r="G83" s="197">
        <v>15446521.76</v>
      </c>
      <c r="H83" s="197">
        <v>15446521.76</v>
      </c>
      <c r="I83" s="197">
        <v>15446521.76</v>
      </c>
      <c r="J83" s="197">
        <v>15446521.76</v>
      </c>
      <c r="K83" s="197">
        <v>15446521.76</v>
      </c>
      <c r="L83" s="197">
        <v>15446521.76</v>
      </c>
      <c r="M83" s="197"/>
      <c r="N83" s="197"/>
      <c r="O83" s="197">
        <v>154465218.84</v>
      </c>
      <c r="P83" s="197">
        <v>154465220</v>
      </c>
      <c r="Q83" s="197">
        <v>1.1599999964237213</v>
      </c>
      <c r="R83" s="261">
        <v>7.509781143118957E-09</v>
      </c>
      <c r="S83" s="34"/>
      <c r="T83" s="259">
        <v>502</v>
      </c>
      <c r="U83" s="260" t="s">
        <v>95</v>
      </c>
      <c r="V83" s="197">
        <v>15446521.76</v>
      </c>
      <c r="W83" s="262">
        <v>0.46822279717900767</v>
      </c>
      <c r="X83" s="197">
        <v>15446522</v>
      </c>
      <c r="Y83" s="197">
        <v>0.24000000022351742</v>
      </c>
      <c r="Z83" s="263">
        <v>1.5537478289515103E-08</v>
      </c>
      <c r="AB83" s="259" t="s">
        <v>144</v>
      </c>
      <c r="AC83" s="260" t="s">
        <v>95</v>
      </c>
      <c r="AD83" s="264">
        <f>+O83</f>
        <v>154465218.84</v>
      </c>
      <c r="AE83" s="264">
        <v>185358261</v>
      </c>
      <c r="AF83" s="265"/>
      <c r="AG83" s="264">
        <f>AE83-AF83</f>
        <v>185358261</v>
      </c>
      <c r="AH83" s="264"/>
      <c r="AI83" s="264">
        <f>AG83+AH83</f>
        <v>185358261</v>
      </c>
      <c r="AJ83" s="264"/>
      <c r="AK83" s="264">
        <v>185358261</v>
      </c>
      <c r="AL83" s="293"/>
      <c r="AM83" s="293">
        <v>185358261</v>
      </c>
      <c r="AN83" s="294">
        <f>AM83-AD83</f>
        <v>30893042.159999996</v>
      </c>
    </row>
    <row r="84" spans="1:41" ht="15.75">
      <c r="A84" s="48" t="s">
        <v>145</v>
      </c>
      <c r="B84" s="31" t="s">
        <v>96</v>
      </c>
      <c r="C84" s="5">
        <v>420067.73</v>
      </c>
      <c r="D84" s="5">
        <v>420067.73</v>
      </c>
      <c r="E84" s="5">
        <v>420067.73</v>
      </c>
      <c r="F84" s="5">
        <v>420067.73</v>
      </c>
      <c r="G84" s="5">
        <v>420067.73</v>
      </c>
      <c r="H84" s="5">
        <v>420067.73</v>
      </c>
      <c r="I84" s="5">
        <v>420067.73</v>
      </c>
      <c r="J84" s="5">
        <v>420067.73</v>
      </c>
      <c r="K84" s="5">
        <v>420067.73</v>
      </c>
      <c r="L84" s="5">
        <v>420067.73</v>
      </c>
      <c r="M84" s="5"/>
      <c r="N84" s="5"/>
      <c r="O84" s="5">
        <v>4200679.3</v>
      </c>
      <c r="P84" s="5">
        <v>4200680</v>
      </c>
      <c r="Q84" s="5">
        <v>0.7000000001862645</v>
      </c>
      <c r="R84" s="152">
        <v>1.6663968695217548E-07</v>
      </c>
      <c r="S84" s="34"/>
      <c r="T84" s="124">
        <v>507</v>
      </c>
      <c r="U84" s="31" t="s">
        <v>96</v>
      </c>
      <c r="V84" s="50">
        <v>420067.73</v>
      </c>
      <c r="W84" s="36">
        <v>0.01273330595723941</v>
      </c>
      <c r="X84" s="50">
        <v>420068</v>
      </c>
      <c r="Y84" s="5">
        <v>0.27000000001862645</v>
      </c>
      <c r="Z84" s="49">
        <v>6.427530781174154E-07</v>
      </c>
      <c r="AB84" s="48" t="s">
        <v>145</v>
      </c>
      <c r="AC84" s="31" t="s">
        <v>96</v>
      </c>
      <c r="AD84" s="126">
        <f>+O84</f>
        <v>4200679.3</v>
      </c>
      <c r="AE84" s="126">
        <v>5040813</v>
      </c>
      <c r="AF84" s="126"/>
      <c r="AG84" s="126">
        <f>AE84-AF84</f>
        <v>5040813</v>
      </c>
      <c r="AH84" s="126"/>
      <c r="AI84" s="126">
        <f>AG84+AH84</f>
        <v>5040813</v>
      </c>
      <c r="AJ84" s="126"/>
      <c r="AK84" s="38">
        <v>5040813</v>
      </c>
      <c r="AL84" s="304"/>
      <c r="AM84" s="304">
        <v>5040813</v>
      </c>
      <c r="AN84" s="305">
        <f>AM84-AD84</f>
        <v>840133.7000000002</v>
      </c>
      <c r="AO84" s="47"/>
    </row>
    <row r="85" spans="1:40" s="26" customFormat="1" ht="15.75">
      <c r="A85" s="259" t="s">
        <v>261</v>
      </c>
      <c r="B85" s="260" t="s">
        <v>68</v>
      </c>
      <c r="C85" s="197"/>
      <c r="D85" s="197"/>
      <c r="E85" s="197">
        <v>111214956.68</v>
      </c>
      <c r="F85" s="197">
        <v>0</v>
      </c>
      <c r="G85" s="197"/>
      <c r="H85" s="197"/>
      <c r="I85" s="197"/>
      <c r="J85" s="197"/>
      <c r="K85" s="197"/>
      <c r="L85" s="197"/>
      <c r="M85" s="197"/>
      <c r="N85" s="197"/>
      <c r="O85" s="197">
        <v>111214956.68</v>
      </c>
      <c r="P85" s="197">
        <v>111214957</v>
      </c>
      <c r="Q85" s="197">
        <v>0.3199999928474426</v>
      </c>
      <c r="R85" s="261">
        <v>2.8773107635822996E-09</v>
      </c>
      <c r="S85" s="34"/>
      <c r="T85" s="259" t="s">
        <v>261</v>
      </c>
      <c r="U85" s="260" t="s">
        <v>68</v>
      </c>
      <c r="V85" s="197">
        <v>0</v>
      </c>
      <c r="W85" s="262">
        <v>0</v>
      </c>
      <c r="X85" s="197">
        <v>0</v>
      </c>
      <c r="Y85" s="197">
        <v>0</v>
      </c>
      <c r="Z85" s="263"/>
      <c r="AB85" s="259" t="s">
        <v>261</v>
      </c>
      <c r="AC85" s="260" t="s">
        <v>68</v>
      </c>
      <c r="AD85" s="264">
        <f>+O85</f>
        <v>111214956.68</v>
      </c>
      <c r="AE85" s="264">
        <v>111214957</v>
      </c>
      <c r="AF85" s="265"/>
      <c r="AG85" s="264">
        <f>AE85-AF85</f>
        <v>111214957</v>
      </c>
      <c r="AH85" s="264"/>
      <c r="AI85" s="264">
        <f>AG85+AH85</f>
        <v>111214957</v>
      </c>
      <c r="AJ85" s="264"/>
      <c r="AK85" s="264">
        <v>111214957</v>
      </c>
      <c r="AL85" s="293"/>
      <c r="AM85" s="293">
        <v>111214957</v>
      </c>
      <c r="AN85" s="294">
        <f>AM85-AD85</f>
        <v>0.3199999928474426</v>
      </c>
    </row>
    <row r="86" spans="1:40" ht="18" thickBot="1">
      <c r="A86" s="266"/>
      <c r="B86" s="267" t="s">
        <v>123</v>
      </c>
      <c r="C86" s="268">
        <f aca="true" t="shared" si="21" ref="C86:K86">SUM(C83:C85)</f>
        <v>15866589.49</v>
      </c>
      <c r="D86" s="268">
        <f t="shared" si="21"/>
        <v>15866589.49</v>
      </c>
      <c r="E86" s="268">
        <f t="shared" si="21"/>
        <v>127081546.17</v>
      </c>
      <c r="F86" s="268">
        <f t="shared" si="21"/>
        <v>15866588.73</v>
      </c>
      <c r="G86" s="268">
        <f t="shared" si="21"/>
        <v>15866589.49</v>
      </c>
      <c r="H86" s="268">
        <f t="shared" si="21"/>
        <v>15866589.49</v>
      </c>
      <c r="I86" s="268">
        <v>15866589.49</v>
      </c>
      <c r="J86" s="268">
        <f>SUM(J83:J85)</f>
        <v>15866589.49</v>
      </c>
      <c r="K86" s="268">
        <f t="shared" si="21"/>
        <v>15866589.49</v>
      </c>
      <c r="L86" s="268">
        <v>15866589.49</v>
      </c>
      <c r="M86" s="268">
        <v>0</v>
      </c>
      <c r="N86" s="268">
        <v>0</v>
      </c>
      <c r="O86" s="268">
        <v>269880854.82000005</v>
      </c>
      <c r="P86" s="268">
        <v>269880857</v>
      </c>
      <c r="Q86" s="268">
        <v>1.1799999894574285</v>
      </c>
      <c r="R86" s="269">
        <v>4.372299697630753E-09</v>
      </c>
      <c r="S86" s="46"/>
      <c r="T86" s="266"/>
      <c r="U86" s="267" t="s">
        <v>123</v>
      </c>
      <c r="V86" s="268">
        <v>15866589.49</v>
      </c>
      <c r="W86" s="270">
        <v>0.4809561031362471</v>
      </c>
      <c r="X86" s="268">
        <v>15866590</v>
      </c>
      <c r="Y86" s="268">
        <v>-0.48999999975785613</v>
      </c>
      <c r="Z86" s="271">
        <v>-3.088250214808955E-08</v>
      </c>
      <c r="AB86" s="266"/>
      <c r="AC86" s="267" t="s">
        <v>123</v>
      </c>
      <c r="AD86" s="268">
        <f aca="true" t="shared" si="22" ref="AD86:AI86">SUM(AD83:AD85)</f>
        <v>269880854.82000005</v>
      </c>
      <c r="AE86" s="268">
        <f t="shared" si="22"/>
        <v>301614031</v>
      </c>
      <c r="AF86" s="272">
        <f t="shared" si="22"/>
        <v>0</v>
      </c>
      <c r="AG86" s="268">
        <f t="shared" si="22"/>
        <v>301614031</v>
      </c>
      <c r="AH86" s="273">
        <f t="shared" si="22"/>
        <v>0</v>
      </c>
      <c r="AI86" s="268">
        <f t="shared" si="22"/>
        <v>301614031</v>
      </c>
      <c r="AJ86" s="268">
        <v>0</v>
      </c>
      <c r="AK86" s="268">
        <v>301614031</v>
      </c>
      <c r="AL86" s="285">
        <v>0</v>
      </c>
      <c r="AM86" s="285">
        <v>301614031</v>
      </c>
      <c r="AN86" s="296">
        <f>SUM(AN83:AN85)</f>
        <v>31733176.17999999</v>
      </c>
    </row>
    <row r="87" spans="1:40" ht="18.75" thickBot="1" thickTop="1">
      <c r="A87" s="328" t="s">
        <v>192</v>
      </c>
      <c r="B87" s="329"/>
      <c r="C87" s="268">
        <f aca="true" t="shared" si="23" ref="C87:K87">C81+C86</f>
        <v>36323134.480000004</v>
      </c>
      <c r="D87" s="268">
        <f t="shared" si="23"/>
        <v>51419991.09</v>
      </c>
      <c r="E87" s="268">
        <f t="shared" si="23"/>
        <v>173360365.14999998</v>
      </c>
      <c r="F87" s="268">
        <f t="shared" si="23"/>
        <v>118274258.21000001</v>
      </c>
      <c r="G87" s="268">
        <f t="shared" si="23"/>
        <v>64907752.76</v>
      </c>
      <c r="H87" s="268">
        <f t="shared" si="23"/>
        <v>127912546.99999999</v>
      </c>
      <c r="I87" s="268">
        <v>93615667.59999998</v>
      </c>
      <c r="J87" s="268">
        <f t="shared" si="23"/>
        <v>42130474.720000006</v>
      </c>
      <c r="K87" s="268">
        <f t="shared" si="23"/>
        <v>34700379.8</v>
      </c>
      <c r="L87" s="268">
        <v>32989683.229999997</v>
      </c>
      <c r="M87" s="268">
        <v>0</v>
      </c>
      <c r="N87" s="268">
        <v>0</v>
      </c>
      <c r="O87" s="268">
        <v>775634845.58</v>
      </c>
      <c r="P87" s="268">
        <v>782263321.6090188</v>
      </c>
      <c r="Q87" s="268">
        <v>6628475.029018843</v>
      </c>
      <c r="R87" s="269">
        <v>0.008473457524999242</v>
      </c>
      <c r="S87" s="46"/>
      <c r="T87" s="266"/>
      <c r="U87" s="274" t="s">
        <v>177</v>
      </c>
      <c r="V87" s="268">
        <v>32989683.229999997</v>
      </c>
      <c r="W87" s="270">
        <v>1</v>
      </c>
      <c r="X87" s="268">
        <v>30104817.36740084</v>
      </c>
      <c r="Y87" s="278">
        <v>-2884866.8625991545</v>
      </c>
      <c r="Z87" s="271">
        <v>-0.09582741617037836</v>
      </c>
      <c r="AB87" s="266"/>
      <c r="AC87" s="274" t="s">
        <v>177</v>
      </c>
      <c r="AD87" s="268">
        <f aca="true" t="shared" si="24" ref="AD87:AI87">AD81+AD86</f>
        <v>775634845.58</v>
      </c>
      <c r="AE87" s="268">
        <f t="shared" si="24"/>
        <v>852891439</v>
      </c>
      <c r="AF87" s="272">
        <f t="shared" si="24"/>
        <v>284088</v>
      </c>
      <c r="AG87" s="268">
        <f t="shared" si="24"/>
        <v>853175526</v>
      </c>
      <c r="AH87" s="273">
        <f t="shared" si="24"/>
        <v>0</v>
      </c>
      <c r="AI87" s="268">
        <f t="shared" si="24"/>
        <v>853175526</v>
      </c>
      <c r="AJ87" s="268">
        <v>14674930</v>
      </c>
      <c r="AK87" s="268">
        <v>867850456</v>
      </c>
      <c r="AL87" s="285">
        <v>0</v>
      </c>
      <c r="AM87" s="285">
        <v>867850456</v>
      </c>
      <c r="AN87" s="296">
        <f>AN81+AN86</f>
        <v>92215610.41999997</v>
      </c>
    </row>
    <row r="88" spans="1:28" ht="18" thickTop="1">
      <c r="A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S88" s="53"/>
      <c r="T88" s="51"/>
      <c r="V88" s="54"/>
      <c r="Y88" s="55"/>
      <c r="AB88" s="51"/>
    </row>
    <row r="89" spans="15:38" ht="18">
      <c r="O89" s="129"/>
      <c r="S89" s="53"/>
      <c r="T89" s="51"/>
      <c r="V89" s="54"/>
      <c r="AB89" s="56"/>
      <c r="AC89" s="57"/>
      <c r="AD89" s="44"/>
      <c r="AE89" s="44"/>
      <c r="AF89" s="44"/>
      <c r="AG89" s="44"/>
      <c r="AH89" s="44"/>
      <c r="AI89" s="44"/>
      <c r="AJ89" s="44"/>
      <c r="AK89" s="44"/>
      <c r="AL89" s="44"/>
    </row>
    <row r="90" spans="1:39" ht="15.75">
      <c r="A90" s="2" t="s">
        <v>137</v>
      </c>
      <c r="D90" s="2" t="s">
        <v>137</v>
      </c>
      <c r="S90" s="53"/>
      <c r="T90" s="51"/>
      <c r="U90" s="2" t="s">
        <v>137</v>
      </c>
      <c r="AB90" s="51"/>
      <c r="AD90" s="25"/>
      <c r="AE90" s="25"/>
      <c r="AF90" s="25"/>
      <c r="AG90" s="25"/>
      <c r="AH90" s="25"/>
      <c r="AM90" s="59"/>
    </row>
    <row r="91" spans="2:34" ht="15.75">
      <c r="B91" s="2" t="s">
        <v>137</v>
      </c>
      <c r="I91" s="2" t="s">
        <v>137</v>
      </c>
      <c r="J91" s="130" t="s">
        <v>137</v>
      </c>
      <c r="Q91" s="16"/>
      <c r="S91" s="53"/>
      <c r="T91" s="51"/>
      <c r="AB91" s="51"/>
      <c r="AC91" s="2" t="s">
        <v>137</v>
      </c>
      <c r="AD91" s="25"/>
      <c r="AE91" s="25"/>
      <c r="AF91" s="25"/>
      <c r="AG91" s="25"/>
      <c r="AH91" s="25"/>
    </row>
    <row r="93" spans="16:17" ht="15.75">
      <c r="P93" s="1"/>
      <c r="Q93" s="16"/>
    </row>
    <row r="94" spans="16:17" ht="15.75">
      <c r="P94" s="1"/>
      <c r="Q94" s="16"/>
    </row>
    <row r="95" spans="16:17" ht="15.75">
      <c r="P95" s="1"/>
      <c r="Q95" s="16"/>
    </row>
    <row r="96" spans="16:17" ht="15.75">
      <c r="P96" s="2" t="s">
        <v>199</v>
      </c>
      <c r="Q96" s="25"/>
    </row>
    <row r="97" ht="15.75">
      <c r="U97" s="60"/>
    </row>
    <row r="99" spans="1:40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AN99" s="61"/>
    </row>
    <row r="100" spans="1:40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AN100" s="61"/>
    </row>
    <row r="101" spans="1:40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AN101" s="61"/>
    </row>
    <row r="102" spans="1:40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AN102" s="61"/>
    </row>
    <row r="103" spans="1:40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AN103" s="61"/>
    </row>
    <row r="104" spans="1:40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AN104" s="61"/>
    </row>
    <row r="105" spans="1:40" ht="15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AN105" s="61"/>
    </row>
    <row r="106" spans="1:40" ht="15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AN106" s="61"/>
    </row>
    <row r="107" spans="1:40" ht="15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AN107" s="61"/>
    </row>
    <row r="108" spans="1:40" ht="15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AN108" s="61"/>
    </row>
    <row r="109" spans="1:40" ht="15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AN109" s="61"/>
    </row>
    <row r="110" spans="1:40" ht="15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AN110" s="61"/>
    </row>
    <row r="111" spans="1:40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AN111" s="61"/>
    </row>
    <row r="112" spans="1:40" ht="15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AN112" s="61"/>
    </row>
    <row r="113" spans="1:40" ht="15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AN113" s="61"/>
    </row>
    <row r="114" spans="1:40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AN114" s="61"/>
    </row>
    <row r="115" spans="1:40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AN115" s="61"/>
    </row>
    <row r="116" spans="1:40" ht="15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AN116" s="61"/>
    </row>
    <row r="117" spans="1:40" ht="15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AN117" s="61"/>
    </row>
    <row r="118" spans="1:40" ht="15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AN118" s="61"/>
    </row>
    <row r="119" spans="1:40" ht="15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AN119" s="61"/>
    </row>
    <row r="120" spans="1:40" ht="15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AN120" s="61"/>
    </row>
    <row r="121" spans="1:40" ht="15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AN121" s="61"/>
    </row>
    <row r="122" spans="1:40" ht="15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AN122" s="61"/>
    </row>
    <row r="123" spans="1:40" ht="15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AN123" s="61"/>
    </row>
    <row r="124" spans="1:40" ht="15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AN124" s="61"/>
    </row>
    <row r="125" spans="1:40" ht="15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AN125" s="61"/>
    </row>
    <row r="126" spans="1:40" ht="15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AN126" s="61"/>
    </row>
    <row r="127" spans="1:40" ht="15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AN127" s="61"/>
    </row>
    <row r="128" spans="1:40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AN128" s="61"/>
    </row>
    <row r="129" spans="1:40" ht="15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AN129" s="61"/>
    </row>
    <row r="130" spans="1:40" ht="15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AN130" s="61"/>
    </row>
    <row r="131" spans="1:40" ht="15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AN131" s="61"/>
    </row>
    <row r="132" spans="1:40" ht="15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AN132" s="61"/>
    </row>
    <row r="133" spans="1:40" ht="15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AN133" s="61"/>
    </row>
    <row r="134" spans="1:40" ht="15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AN134" s="61"/>
    </row>
    <row r="135" spans="1:40" ht="15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AN135" s="61"/>
    </row>
    <row r="136" spans="1:40" ht="15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AN136" s="61"/>
    </row>
    <row r="137" spans="1:40" ht="15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AN137" s="61"/>
    </row>
    <row r="138" spans="1:40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AN138" s="61"/>
    </row>
    <row r="139" spans="1:40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AN139" s="61"/>
    </row>
    <row r="140" spans="1:40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AN140" s="61"/>
    </row>
    <row r="141" spans="1:40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AN141" s="61"/>
    </row>
    <row r="142" spans="1:40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AN142" s="61"/>
    </row>
    <row r="143" spans="1:40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AN143" s="61"/>
    </row>
    <row r="144" spans="1:40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AN144" s="61"/>
    </row>
    <row r="145" spans="1:40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AN145" s="61"/>
    </row>
    <row r="146" spans="1:40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AN146" s="61"/>
    </row>
  </sheetData>
  <sheetProtection/>
  <mergeCells count="13">
    <mergeCell ref="A87:B87"/>
    <mergeCell ref="A1:Q1"/>
    <mergeCell ref="A2:Q2"/>
    <mergeCell ref="A3:Q3"/>
    <mergeCell ref="AB1:AI1"/>
    <mergeCell ref="T1:Z1"/>
    <mergeCell ref="T2:Z2"/>
    <mergeCell ref="AB2:AI2"/>
    <mergeCell ref="AB3:AI3"/>
    <mergeCell ref="AM4:AN4"/>
    <mergeCell ref="Y4:Z4"/>
    <mergeCell ref="T3:Z3"/>
    <mergeCell ref="AD4:AI4"/>
  </mergeCells>
  <printOptions/>
  <pageMargins left="0.15748031496062992" right="0.15748031496062992" top="0.4" bottom="0.15748031496062992" header="0.15748031496062992" footer="0.15748031496062992"/>
  <pageSetup horizontalDpi="600" verticalDpi="600" orientation="portrait" scale="53" r:id="rId1"/>
  <ignoredErrors>
    <ignoredError sqref="AB8 AB36:AB37 AB40 AB83:AB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zoomScale="75" zoomScaleNormal="75" zoomScalePageLayoutView="0" workbookViewId="0" topLeftCell="A1">
      <selection activeCell="A26" sqref="A26"/>
    </sheetView>
  </sheetViews>
  <sheetFormatPr defaultColWidth="11.00390625" defaultRowHeight="15.75"/>
  <cols>
    <col min="1" max="1" width="13.375" style="2" customWidth="1"/>
    <col min="2" max="2" width="46.25390625" style="2" customWidth="1"/>
    <col min="3" max="3" width="16.125" style="2" customWidth="1"/>
    <col min="4" max="4" width="15.625" style="2" customWidth="1"/>
    <col min="5" max="5" width="16.50390625" style="2" customWidth="1"/>
    <col min="6" max="6" width="18.25390625" style="2" customWidth="1"/>
    <col min="7" max="16384" width="11.00390625" style="2" customWidth="1"/>
  </cols>
  <sheetData>
    <row r="1" spans="2:6" ht="18">
      <c r="B1" s="344" t="s">
        <v>196</v>
      </c>
      <c r="C1" s="345"/>
      <c r="D1" s="345"/>
      <c r="E1" s="345"/>
      <c r="F1" s="346"/>
    </row>
    <row r="2" spans="2:6" ht="18">
      <c r="B2" s="347" t="s">
        <v>23</v>
      </c>
      <c r="C2" s="348"/>
      <c r="D2" s="348"/>
      <c r="E2" s="348"/>
      <c r="F2" s="349"/>
    </row>
    <row r="3" spans="2:6" ht="15.75">
      <c r="B3" s="350" t="s">
        <v>291</v>
      </c>
      <c r="C3" s="351"/>
      <c r="D3" s="351"/>
      <c r="E3" s="351"/>
      <c r="F3" s="352"/>
    </row>
    <row r="4" ht="16.5" customHeight="1"/>
    <row r="5" spans="2:6" ht="16.5" thickBot="1">
      <c r="B5" s="3"/>
      <c r="C5" s="3"/>
      <c r="D5" s="3"/>
      <c r="E5" s="3"/>
      <c r="F5" s="3"/>
    </row>
    <row r="6" spans="1:6" ht="16.5" thickTop="1">
      <c r="A6" s="1"/>
      <c r="B6" s="187"/>
      <c r="C6" s="188"/>
      <c r="D6" s="188"/>
      <c r="E6" s="188"/>
      <c r="F6" s="189"/>
    </row>
    <row r="7" spans="1:6" ht="15.75">
      <c r="A7" s="1"/>
      <c r="B7" s="207" t="s">
        <v>121</v>
      </c>
      <c r="C7" s="353" t="s">
        <v>65</v>
      </c>
      <c r="D7" s="353"/>
      <c r="E7" s="279" t="s">
        <v>1</v>
      </c>
      <c r="F7" s="190" t="s">
        <v>0</v>
      </c>
    </row>
    <row r="8" spans="1:6" ht="16.5" thickBot="1">
      <c r="A8" s="1"/>
      <c r="B8" s="191"/>
      <c r="C8" s="192" t="s">
        <v>51</v>
      </c>
      <c r="D8" s="192" t="s">
        <v>26</v>
      </c>
      <c r="E8" s="192" t="s">
        <v>26</v>
      </c>
      <c r="F8" s="193"/>
    </row>
    <row r="9" spans="1:6" ht="16.5" thickTop="1">
      <c r="A9" s="1"/>
      <c r="B9" s="4"/>
      <c r="C9" s="3"/>
      <c r="D9" s="5"/>
      <c r="E9" s="3"/>
      <c r="F9" s="6"/>
    </row>
    <row r="10" spans="1:6" ht="15.75">
      <c r="A10" s="1" t="s">
        <v>217</v>
      </c>
      <c r="B10" s="4" t="s">
        <v>214</v>
      </c>
      <c r="C10" s="5">
        <v>9238425</v>
      </c>
      <c r="D10" s="5">
        <v>92934252</v>
      </c>
      <c r="E10" s="5">
        <v>493158964.60901886</v>
      </c>
      <c r="F10" s="7">
        <v>-400224712.60901886</v>
      </c>
    </row>
    <row r="11" spans="1:6" ht="15.75">
      <c r="A11" s="1" t="s">
        <v>218</v>
      </c>
      <c r="B11" s="4" t="s">
        <v>216</v>
      </c>
      <c r="C11" s="5">
        <v>91667</v>
      </c>
      <c r="D11" s="5">
        <v>4548570</v>
      </c>
      <c r="E11" s="5">
        <v>4548570</v>
      </c>
      <c r="F11" s="7">
        <v>0</v>
      </c>
    </row>
    <row r="12" spans="1:6" ht="15.75">
      <c r="A12" s="1" t="s">
        <v>219</v>
      </c>
      <c r="B12" s="4" t="s">
        <v>213</v>
      </c>
      <c r="C12" s="5">
        <v>15866590</v>
      </c>
      <c r="D12" s="5">
        <v>288416692</v>
      </c>
      <c r="E12" s="5">
        <v>269880857</v>
      </c>
      <c r="F12" s="7">
        <v>18535835</v>
      </c>
    </row>
    <row r="13" spans="1:6" ht="15.75">
      <c r="A13" s="1" t="s">
        <v>220</v>
      </c>
      <c r="B13" s="4" t="s">
        <v>215</v>
      </c>
      <c r="C13" s="5">
        <v>0</v>
      </c>
      <c r="D13" s="5">
        <v>273892597</v>
      </c>
      <c r="E13" s="5">
        <v>0</v>
      </c>
      <c r="F13" s="7">
        <v>273892597</v>
      </c>
    </row>
    <row r="14" spans="1:6" ht="15.75" hidden="1">
      <c r="A14" s="1"/>
      <c r="B14" s="4" t="s">
        <v>221</v>
      </c>
      <c r="C14" s="5"/>
      <c r="D14" s="5">
        <v>0</v>
      </c>
      <c r="E14" s="5">
        <v>0</v>
      </c>
      <c r="F14" s="7">
        <v>0</v>
      </c>
    </row>
    <row r="15" spans="1:6" ht="15.75" hidden="1">
      <c r="A15" s="1"/>
      <c r="B15" s="4"/>
      <c r="C15" s="5">
        <v>25000000</v>
      </c>
      <c r="D15" s="5">
        <v>75000000</v>
      </c>
      <c r="E15" s="5"/>
      <c r="F15" s="7">
        <v>75000000</v>
      </c>
    </row>
    <row r="16" spans="1:6" ht="16.5" thickBot="1">
      <c r="A16" s="9">
        <v>401402403</v>
      </c>
      <c r="B16" s="205" t="s">
        <v>115</v>
      </c>
      <c r="C16" s="194">
        <v>50196682</v>
      </c>
      <c r="D16" s="194">
        <v>734792111</v>
      </c>
      <c r="E16" s="194">
        <v>767588391.6090188</v>
      </c>
      <c r="F16" s="195">
        <v>-32796280.609018862</v>
      </c>
    </row>
    <row r="17" spans="1:6" ht="16.5" thickTop="1">
      <c r="A17" s="1"/>
      <c r="B17" s="12"/>
      <c r="C17" s="13"/>
      <c r="D17" s="13"/>
      <c r="E17" s="13"/>
      <c r="F17" s="14"/>
    </row>
    <row r="18" spans="1:6" ht="15.75" hidden="1">
      <c r="A18" s="1"/>
      <c r="B18" s="12"/>
      <c r="C18" s="13"/>
      <c r="D18" s="13"/>
      <c r="E18" s="13"/>
      <c r="F18" s="14"/>
    </row>
    <row r="19" spans="1:6" ht="15.75">
      <c r="A19" s="1" t="s">
        <v>116</v>
      </c>
      <c r="B19" s="4" t="s">
        <v>108</v>
      </c>
      <c r="C19" s="5">
        <v>13031816.759999998</v>
      </c>
      <c r="D19" s="5">
        <v>303418464.76</v>
      </c>
      <c r="E19" s="5">
        <v>324761070</v>
      </c>
      <c r="F19" s="7">
        <v>21342605.24000001</v>
      </c>
    </row>
    <row r="20" spans="1:6" ht="15.75">
      <c r="A20" s="1" t="s">
        <v>117</v>
      </c>
      <c r="B20" s="4" t="s">
        <v>109</v>
      </c>
      <c r="C20" s="5">
        <v>598586.03</v>
      </c>
      <c r="D20" s="5">
        <v>84092377.03</v>
      </c>
      <c r="E20" s="5">
        <v>82196865</v>
      </c>
      <c r="F20" s="7">
        <v>-1895512.0300000012</v>
      </c>
    </row>
    <row r="21" spans="1:6" ht="15.75">
      <c r="A21" s="1" t="s">
        <v>118</v>
      </c>
      <c r="B21" s="4" t="s">
        <v>110</v>
      </c>
      <c r="C21" s="5">
        <v>3477628.39</v>
      </c>
      <c r="D21" s="5">
        <v>97779530.39</v>
      </c>
      <c r="E21" s="5">
        <v>86201032</v>
      </c>
      <c r="F21" s="7">
        <v>-11578498.39</v>
      </c>
    </row>
    <row r="22" spans="1:6" ht="15.75" hidden="1">
      <c r="A22" s="1"/>
      <c r="B22" s="4" t="s">
        <v>131</v>
      </c>
      <c r="C22" s="5"/>
      <c r="D22" s="5">
        <v>0</v>
      </c>
      <c r="E22" s="5">
        <v>0</v>
      </c>
      <c r="F22" s="7">
        <v>0</v>
      </c>
    </row>
    <row r="23" spans="1:6" ht="17.25" customHeight="1">
      <c r="A23" s="1">
        <v>508</v>
      </c>
      <c r="B23" s="15" t="s">
        <v>111</v>
      </c>
      <c r="C23" s="16">
        <v>9684454</v>
      </c>
      <c r="D23" s="16">
        <v>9684454</v>
      </c>
      <c r="E23" s="16">
        <v>0</v>
      </c>
      <c r="F23" s="201">
        <v>-9684454</v>
      </c>
    </row>
    <row r="24" spans="1:6" ht="15.75" hidden="1">
      <c r="A24" s="1">
        <v>510</v>
      </c>
      <c r="B24" s="196" t="s">
        <v>147</v>
      </c>
      <c r="C24" s="197"/>
      <c r="D24" s="197">
        <v>0</v>
      </c>
      <c r="E24" s="197"/>
      <c r="F24" s="198">
        <v>0</v>
      </c>
    </row>
    <row r="25" spans="1:6" ht="15.75">
      <c r="A25" s="1"/>
      <c r="B25" s="206" t="s">
        <v>107</v>
      </c>
      <c r="C25" s="199">
        <v>26792485.179999996</v>
      </c>
      <c r="D25" s="199">
        <v>494974826.17999995</v>
      </c>
      <c r="E25" s="199">
        <v>493158967</v>
      </c>
      <c r="F25" s="200">
        <v>-1815859.1799999923</v>
      </c>
    </row>
    <row r="26" spans="1:6" ht="15.75">
      <c r="A26" s="1"/>
      <c r="B26" s="12"/>
      <c r="C26" s="13"/>
      <c r="D26" s="13"/>
      <c r="E26" s="13"/>
      <c r="F26" s="14"/>
    </row>
    <row r="27" spans="1:6" ht="15.75">
      <c r="A27" s="1"/>
      <c r="B27" s="4"/>
      <c r="C27" s="13"/>
      <c r="D27" s="13"/>
      <c r="E27" s="13"/>
      <c r="F27" s="14"/>
    </row>
    <row r="28" spans="1:6" ht="15.75">
      <c r="A28" s="1">
        <v>502</v>
      </c>
      <c r="B28" s="4" t="s">
        <v>25</v>
      </c>
      <c r="C28" s="5">
        <v>15446521.76</v>
      </c>
      <c r="D28" s="5">
        <v>154465219.6</v>
      </c>
      <c r="E28" s="5">
        <v>154465220</v>
      </c>
      <c r="F28" s="7">
        <v>0.4000000059604645</v>
      </c>
    </row>
    <row r="29" spans="1:6" ht="15.75">
      <c r="A29" s="1">
        <v>507</v>
      </c>
      <c r="B29" s="4" t="s">
        <v>67</v>
      </c>
      <c r="C29" s="16">
        <v>420067.73</v>
      </c>
      <c r="D29" s="5">
        <v>4200679.3</v>
      </c>
      <c r="E29" s="5">
        <v>4200680</v>
      </c>
      <c r="F29" s="7">
        <v>-0.2999999998137355</v>
      </c>
    </row>
    <row r="30" spans="1:6" ht="15.75">
      <c r="A30" s="1"/>
      <c r="B30" s="4" t="s">
        <v>68</v>
      </c>
      <c r="C30" s="5">
        <v>0</v>
      </c>
      <c r="D30" s="5">
        <v>111214957</v>
      </c>
      <c r="E30" s="5">
        <v>111214957</v>
      </c>
      <c r="F30" s="7">
        <v>0</v>
      </c>
    </row>
    <row r="31" spans="1:6" ht="15.75">
      <c r="A31" s="1"/>
      <c r="B31" s="202" t="s">
        <v>112</v>
      </c>
      <c r="C31" s="199">
        <v>15866589.49</v>
      </c>
      <c r="D31" s="199">
        <v>269880855.9</v>
      </c>
      <c r="E31" s="199">
        <v>269880857</v>
      </c>
      <c r="F31" s="200">
        <v>0.10000000614672899</v>
      </c>
    </row>
    <row r="32" spans="1:6" ht="15.75">
      <c r="A32" s="1"/>
      <c r="B32" s="12"/>
      <c r="C32" s="13"/>
      <c r="D32" s="13"/>
      <c r="E32" s="13"/>
      <c r="F32" s="14"/>
    </row>
    <row r="33" spans="1:6" ht="15.75">
      <c r="A33" s="1"/>
      <c r="B33" s="4"/>
      <c r="C33" s="5"/>
      <c r="D33" s="5"/>
      <c r="E33" s="5"/>
      <c r="F33" s="8"/>
    </row>
    <row r="34" spans="1:6" ht="16.5" thickBot="1">
      <c r="A34" s="1"/>
      <c r="B34" s="205" t="s">
        <v>113</v>
      </c>
      <c r="C34" s="194">
        <v>42659074.669999994</v>
      </c>
      <c r="D34" s="194">
        <v>764855682.0799999</v>
      </c>
      <c r="E34" s="194">
        <v>763039824</v>
      </c>
      <c r="F34" s="203">
        <v>-1815859.079999986</v>
      </c>
    </row>
    <row r="35" spans="1:6" ht="16.5" thickTop="1">
      <c r="A35" s="1"/>
      <c r="B35" s="12"/>
      <c r="C35" s="13"/>
      <c r="D35" s="13"/>
      <c r="E35" s="13"/>
      <c r="F35" s="14"/>
    </row>
    <row r="36" spans="1:6" ht="15.75">
      <c r="A36" s="1"/>
      <c r="B36" s="4"/>
      <c r="C36" s="5"/>
      <c r="D36" s="5"/>
      <c r="E36" s="5"/>
      <c r="F36" s="8"/>
    </row>
    <row r="37" spans="1:6" ht="16.5" thickBot="1">
      <c r="A37" s="1"/>
      <c r="B37" s="205" t="s">
        <v>114</v>
      </c>
      <c r="C37" s="280">
        <v>7445940.330000006</v>
      </c>
      <c r="D37" s="194">
        <v>-34612141.07999992</v>
      </c>
      <c r="E37" s="194">
        <v>4548567.609018803</v>
      </c>
      <c r="F37" s="203">
        <v>-34612139.689018846</v>
      </c>
    </row>
    <row r="38" spans="1:6" ht="16.5" thickTop="1">
      <c r="A38" s="1"/>
      <c r="B38" s="12"/>
      <c r="C38" s="13"/>
      <c r="D38" s="13"/>
      <c r="E38" s="13"/>
      <c r="F38" s="14"/>
    </row>
    <row r="39" spans="1:6" ht="15.75">
      <c r="A39" s="1">
        <v>405</v>
      </c>
      <c r="B39" s="4" t="s">
        <v>48</v>
      </c>
      <c r="C39" s="138">
        <v>76802.75</v>
      </c>
      <c r="D39" s="178">
        <v>2649858.8100000005</v>
      </c>
      <c r="E39" s="5">
        <v>0</v>
      </c>
      <c r="F39" s="7">
        <v>-2649858.8100000005</v>
      </c>
    </row>
    <row r="40" spans="1:6" ht="15.75">
      <c r="A40" s="1"/>
      <c r="B40" s="4" t="s">
        <v>125</v>
      </c>
      <c r="C40" s="138">
        <v>16185.929999999998</v>
      </c>
      <c r="D40" s="178">
        <v>658508.43</v>
      </c>
      <c r="E40" s="5">
        <v>0</v>
      </c>
      <c r="F40" s="7">
        <v>-658508.43</v>
      </c>
    </row>
    <row r="41" spans="1:6" ht="15.75">
      <c r="A41" s="1">
        <v>408</v>
      </c>
      <c r="B41" s="4" t="s">
        <v>66</v>
      </c>
      <c r="C41" s="138">
        <v>86172.45</v>
      </c>
      <c r="D41" s="178">
        <v>401043.24000000005</v>
      </c>
      <c r="E41" s="5">
        <v>0</v>
      </c>
      <c r="F41" s="7">
        <v>-401043.24000000005</v>
      </c>
    </row>
    <row r="42" spans="1:6" ht="15.75">
      <c r="A42" s="1"/>
      <c r="B42" s="4"/>
      <c r="C42" s="5"/>
      <c r="D42" s="177"/>
      <c r="E42" s="5"/>
      <c r="F42" s="8"/>
    </row>
    <row r="43" spans="1:6" ht="16.5" thickBot="1">
      <c r="A43" s="1"/>
      <c r="B43" s="205" t="s">
        <v>257</v>
      </c>
      <c r="C43" s="194">
        <v>179161.13</v>
      </c>
      <c r="D43" s="194">
        <v>3709411.480000001</v>
      </c>
      <c r="E43" s="194">
        <v>0</v>
      </c>
      <c r="F43" s="203">
        <v>-3709411.480000001</v>
      </c>
    </row>
    <row r="44" spans="1:6" ht="16.5" thickTop="1">
      <c r="A44" s="1"/>
      <c r="B44" s="4"/>
      <c r="C44" s="5"/>
      <c r="D44" s="5"/>
      <c r="E44" s="5"/>
      <c r="F44" s="8"/>
    </row>
    <row r="45" spans="1:6" ht="16.5" thickBot="1">
      <c r="A45" s="1"/>
      <c r="B45" s="205" t="s">
        <v>91</v>
      </c>
      <c r="C45" s="204">
        <v>7625101.460000006</v>
      </c>
      <c r="D45" s="204">
        <v>-30902729.599999923</v>
      </c>
      <c r="E45" s="204">
        <v>4548567.609018803</v>
      </c>
      <c r="F45" s="203">
        <v>-30902730.209018845</v>
      </c>
    </row>
    <row r="46" spans="1:6" s="22" customFormat="1" ht="16.5" thickTop="1">
      <c r="A46" s="18"/>
      <c r="B46" s="19"/>
      <c r="C46" s="20"/>
      <c r="D46" s="20"/>
      <c r="E46" s="20"/>
      <c r="F46" s="21"/>
    </row>
    <row r="47" spans="1:6" s="22" customFormat="1" ht="15.75">
      <c r="A47" s="18"/>
      <c r="B47" s="19"/>
      <c r="C47" s="20"/>
      <c r="D47" s="20"/>
      <c r="E47" s="20"/>
      <c r="F47" s="21"/>
    </row>
    <row r="48" spans="1:6" s="22" customFormat="1" ht="15.75">
      <c r="A48" s="18"/>
      <c r="B48" s="19"/>
      <c r="C48" s="20"/>
      <c r="D48" s="20"/>
      <c r="E48" s="20"/>
      <c r="F48" s="21"/>
    </row>
    <row r="49" spans="1:6" s="22" customFormat="1" ht="15.75">
      <c r="A49" s="18"/>
      <c r="B49" s="23"/>
      <c r="C49" s="20"/>
      <c r="D49" s="20"/>
      <c r="E49" s="20"/>
      <c r="F49" s="21"/>
    </row>
    <row r="50" spans="1:6" ht="15.75">
      <c r="A50" s="1"/>
      <c r="B50" s="24"/>
      <c r="C50" s="13"/>
      <c r="D50" s="13"/>
      <c r="E50" s="13"/>
      <c r="F50" s="5"/>
    </row>
    <row r="51" spans="1:6" ht="15.75">
      <c r="A51" s="1"/>
      <c r="B51" s="3"/>
      <c r="C51" s="25"/>
      <c r="D51" s="25"/>
      <c r="F51" s="3"/>
    </row>
    <row r="52" spans="1:6" ht="15.75">
      <c r="A52" s="1"/>
      <c r="F52" s="3"/>
    </row>
    <row r="53" spans="1:6" ht="15.75">
      <c r="A53" s="1"/>
      <c r="F53" s="3"/>
    </row>
    <row r="54" spans="1:6" ht="15.75">
      <c r="A54" s="1"/>
      <c r="C54" s="25"/>
      <c r="D54" s="25"/>
      <c r="F54" s="3"/>
    </row>
    <row r="55" spans="1:6" ht="15.75">
      <c r="A55" s="1"/>
      <c r="F55" s="3"/>
    </row>
    <row r="56" spans="1:6" ht="15.75">
      <c r="A56" s="1"/>
      <c r="F56" s="3"/>
    </row>
    <row r="57" spans="1:6" ht="15.75">
      <c r="A57" s="1"/>
      <c r="F57" s="3"/>
    </row>
    <row r="58" spans="1:6" ht="15.75">
      <c r="A58" s="1"/>
      <c r="F58" s="3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B1:F1"/>
    <mergeCell ref="B2:F2"/>
    <mergeCell ref="B3:F3"/>
    <mergeCell ref="C7:D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AP56"/>
  <sheetViews>
    <sheetView tabSelected="1" zoomScale="75" zoomScaleNormal="75" zoomScalePageLayoutView="0" workbookViewId="0" topLeftCell="AJ1">
      <selection activeCell="AJ5" sqref="AJ5"/>
    </sheetView>
  </sheetViews>
  <sheetFormatPr defaultColWidth="11.00390625" defaultRowHeight="15.75"/>
  <cols>
    <col min="1" max="1" width="11.00390625" style="2" customWidth="1"/>
    <col min="2" max="2" width="31.25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8" width="11.00390625" style="26" customWidth="1"/>
    <col min="9" max="9" width="31.25390625" style="2" customWidth="1"/>
    <col min="10" max="10" width="15.25390625" style="2" customWidth="1"/>
    <col min="11" max="11" width="14.625" style="2" customWidth="1"/>
    <col min="12" max="12" width="16.50390625" style="2" customWidth="1"/>
    <col min="13" max="13" width="15.25390625" style="2" customWidth="1"/>
    <col min="14" max="14" width="16.50390625" style="2" customWidth="1"/>
    <col min="15" max="15" width="11.00390625" style="2" customWidth="1"/>
    <col min="16" max="16" width="31.25390625" style="2" customWidth="1"/>
    <col min="17" max="17" width="15.25390625" style="2" customWidth="1"/>
    <col min="18" max="18" width="14.625" style="2" customWidth="1"/>
    <col min="19" max="19" width="16.50390625" style="2" customWidth="1"/>
    <col min="20" max="20" width="15.25390625" style="2" customWidth="1"/>
    <col min="21" max="21" width="16.50390625" style="2" customWidth="1"/>
    <col min="22" max="22" width="11.00390625" style="2" customWidth="1"/>
    <col min="23" max="23" width="31.25390625" style="2" customWidth="1"/>
    <col min="24" max="24" width="15.25390625" style="2" customWidth="1"/>
    <col min="25" max="25" width="14.625" style="2" customWidth="1"/>
    <col min="26" max="26" width="16.50390625" style="2" customWidth="1"/>
    <col min="27" max="27" width="15.25390625" style="2" customWidth="1"/>
    <col min="28" max="28" width="16.50390625" style="2" customWidth="1"/>
    <col min="29" max="29" width="11.00390625" style="2" customWidth="1"/>
    <col min="30" max="30" width="31.25390625" style="2" customWidth="1"/>
    <col min="31" max="31" width="15.25390625" style="2" customWidth="1"/>
    <col min="32" max="32" width="14.625" style="2" customWidth="1"/>
    <col min="33" max="33" width="16.50390625" style="2" customWidth="1"/>
    <col min="34" max="34" width="15.25390625" style="2" customWidth="1"/>
    <col min="35" max="35" width="16.50390625" style="2" customWidth="1"/>
    <col min="36" max="36" width="11.00390625" style="2" customWidth="1"/>
    <col min="37" max="37" width="44.75390625" style="2" bestFit="1" customWidth="1"/>
    <col min="38" max="38" width="15.25390625" style="2" customWidth="1"/>
    <col min="39" max="39" width="14.625" style="2" customWidth="1"/>
    <col min="40" max="40" width="16.50390625" style="2" customWidth="1"/>
    <col min="41" max="41" width="15.25390625" style="2" customWidth="1"/>
    <col min="42" max="42" width="16.50390625" style="2" customWidth="1"/>
    <col min="43" max="16384" width="11.00390625" style="2" customWidth="1"/>
  </cols>
  <sheetData>
    <row r="1" spans="2:42" s="62" customFormat="1" ht="15.75">
      <c r="B1" s="363" t="s">
        <v>196</v>
      </c>
      <c r="C1" s="364"/>
      <c r="D1" s="364"/>
      <c r="E1" s="364"/>
      <c r="F1" s="364"/>
      <c r="G1" s="365"/>
      <c r="H1" s="86"/>
      <c r="I1" s="363" t="s">
        <v>196</v>
      </c>
      <c r="J1" s="364"/>
      <c r="K1" s="364"/>
      <c r="L1" s="364"/>
      <c r="M1" s="364"/>
      <c r="N1" s="365"/>
      <c r="P1" s="354" t="s">
        <v>196</v>
      </c>
      <c r="Q1" s="355"/>
      <c r="R1" s="355"/>
      <c r="S1" s="355"/>
      <c r="T1" s="355"/>
      <c r="U1" s="356"/>
      <c r="W1" s="354" t="s">
        <v>196</v>
      </c>
      <c r="X1" s="355"/>
      <c r="Y1" s="355"/>
      <c r="Z1" s="355"/>
      <c r="AA1" s="355"/>
      <c r="AB1" s="356"/>
      <c r="AD1" s="354" t="s">
        <v>196</v>
      </c>
      <c r="AE1" s="355"/>
      <c r="AF1" s="355"/>
      <c r="AG1" s="355"/>
      <c r="AH1" s="355"/>
      <c r="AI1" s="356"/>
      <c r="AK1" s="354" t="s">
        <v>196</v>
      </c>
      <c r="AL1" s="355"/>
      <c r="AM1" s="355"/>
      <c r="AN1" s="355"/>
      <c r="AO1" s="355"/>
      <c r="AP1" s="356"/>
    </row>
    <row r="2" spans="2:42" ht="15.75">
      <c r="B2" s="366" t="s">
        <v>27</v>
      </c>
      <c r="C2" s="367"/>
      <c r="D2" s="367"/>
      <c r="E2" s="367"/>
      <c r="F2" s="367"/>
      <c r="G2" s="368"/>
      <c r="I2" s="366" t="s">
        <v>27</v>
      </c>
      <c r="J2" s="367"/>
      <c r="K2" s="367"/>
      <c r="L2" s="367"/>
      <c r="M2" s="367"/>
      <c r="N2" s="368"/>
      <c r="P2" s="357" t="s">
        <v>27</v>
      </c>
      <c r="Q2" s="358"/>
      <c r="R2" s="358"/>
      <c r="S2" s="358"/>
      <c r="T2" s="358"/>
      <c r="U2" s="359"/>
      <c r="W2" s="357" t="s">
        <v>27</v>
      </c>
      <c r="X2" s="358"/>
      <c r="Y2" s="358"/>
      <c r="Z2" s="358"/>
      <c r="AA2" s="358"/>
      <c r="AB2" s="359"/>
      <c r="AD2" s="357" t="s">
        <v>27</v>
      </c>
      <c r="AE2" s="358"/>
      <c r="AF2" s="358"/>
      <c r="AG2" s="358"/>
      <c r="AH2" s="358"/>
      <c r="AI2" s="359"/>
      <c r="AK2" s="357" t="s">
        <v>27</v>
      </c>
      <c r="AL2" s="358"/>
      <c r="AM2" s="358"/>
      <c r="AN2" s="358"/>
      <c r="AO2" s="358"/>
      <c r="AP2" s="359"/>
    </row>
    <row r="3" spans="2:42" ht="16.5" thickBot="1">
      <c r="B3" s="369" t="s">
        <v>265</v>
      </c>
      <c r="C3" s="370"/>
      <c r="D3" s="370"/>
      <c r="E3" s="370"/>
      <c r="F3" s="370"/>
      <c r="G3" s="371"/>
      <c r="I3" s="369" t="s">
        <v>268</v>
      </c>
      <c r="J3" s="370"/>
      <c r="K3" s="370"/>
      <c r="L3" s="370"/>
      <c r="M3" s="370"/>
      <c r="N3" s="371"/>
      <c r="P3" s="360" t="s">
        <v>272</v>
      </c>
      <c r="Q3" s="361"/>
      <c r="R3" s="361"/>
      <c r="S3" s="361"/>
      <c r="T3" s="361"/>
      <c r="U3" s="362"/>
      <c r="W3" s="360" t="s">
        <v>275</v>
      </c>
      <c r="X3" s="361"/>
      <c r="Y3" s="361"/>
      <c r="Z3" s="361"/>
      <c r="AA3" s="361"/>
      <c r="AB3" s="362"/>
      <c r="AD3" s="360" t="s">
        <v>278</v>
      </c>
      <c r="AE3" s="361"/>
      <c r="AF3" s="361"/>
      <c r="AG3" s="361"/>
      <c r="AH3" s="361"/>
      <c r="AI3" s="362"/>
      <c r="AK3" s="360" t="s">
        <v>292</v>
      </c>
      <c r="AL3" s="361"/>
      <c r="AM3" s="361"/>
      <c r="AN3" s="361"/>
      <c r="AO3" s="361"/>
      <c r="AP3" s="362"/>
    </row>
    <row r="4" spans="2:42" ht="15.75">
      <c r="B4" s="63"/>
      <c r="C4" s="63"/>
      <c r="D4" s="64"/>
      <c r="E4" s="64"/>
      <c r="F4" s="63"/>
      <c r="G4" s="63"/>
      <c r="I4" s="63"/>
      <c r="J4" s="63"/>
      <c r="K4" s="64"/>
      <c r="L4" s="64"/>
      <c r="M4" s="63"/>
      <c r="N4" s="63"/>
      <c r="P4" s="63"/>
      <c r="Q4" s="63"/>
      <c r="R4" s="64"/>
      <c r="S4" s="64"/>
      <c r="T4" s="63"/>
      <c r="U4" s="63"/>
      <c r="W4" s="63"/>
      <c r="X4" s="63"/>
      <c r="Y4" s="64"/>
      <c r="Z4" s="64"/>
      <c r="AA4" s="63"/>
      <c r="AB4" s="63"/>
      <c r="AD4" s="63"/>
      <c r="AE4" s="63"/>
      <c r="AF4" s="64"/>
      <c r="AG4" s="64"/>
      <c r="AH4" s="63"/>
      <c r="AI4" s="63"/>
      <c r="AK4" s="63"/>
      <c r="AL4" s="63"/>
      <c r="AM4" s="64"/>
      <c r="AN4" s="64"/>
      <c r="AO4" s="63"/>
      <c r="AP4" s="63"/>
    </row>
    <row r="5" spans="2:42" ht="36" customHeight="1" thickBot="1">
      <c r="B5" s="65" t="s">
        <v>24</v>
      </c>
      <c r="C5" s="66" t="s">
        <v>28</v>
      </c>
      <c r="D5" s="66" t="s">
        <v>29</v>
      </c>
      <c r="E5" s="128" t="s">
        <v>188</v>
      </c>
      <c r="F5" s="66" t="s">
        <v>29</v>
      </c>
      <c r="G5" s="154" t="s">
        <v>189</v>
      </c>
      <c r="I5" s="65" t="s">
        <v>24</v>
      </c>
      <c r="J5" s="66" t="s">
        <v>44</v>
      </c>
      <c r="K5" s="66" t="s">
        <v>28</v>
      </c>
      <c r="L5" s="128" t="s">
        <v>188</v>
      </c>
      <c r="M5" s="66" t="s">
        <v>29</v>
      </c>
      <c r="N5" s="154" t="s">
        <v>189</v>
      </c>
      <c r="P5" s="208" t="s">
        <v>24</v>
      </c>
      <c r="Q5" s="209" t="s">
        <v>45</v>
      </c>
      <c r="R5" s="209" t="s">
        <v>44</v>
      </c>
      <c r="S5" s="210" t="s">
        <v>188</v>
      </c>
      <c r="T5" s="209" t="s">
        <v>29</v>
      </c>
      <c r="U5" s="211" t="s">
        <v>189</v>
      </c>
      <c r="W5" s="208" t="s">
        <v>24</v>
      </c>
      <c r="X5" s="209" t="s">
        <v>49</v>
      </c>
      <c r="Y5" s="209" t="s">
        <v>45</v>
      </c>
      <c r="Z5" s="210" t="s">
        <v>188</v>
      </c>
      <c r="AA5" s="209" t="s">
        <v>29</v>
      </c>
      <c r="AB5" s="211" t="s">
        <v>189</v>
      </c>
      <c r="AD5" s="208" t="s">
        <v>24</v>
      </c>
      <c r="AE5" s="209" t="s">
        <v>50</v>
      </c>
      <c r="AF5" s="209" t="s">
        <v>49</v>
      </c>
      <c r="AG5" s="210" t="s">
        <v>188</v>
      </c>
      <c r="AH5" s="209" t="s">
        <v>29</v>
      </c>
      <c r="AI5" s="211" t="s">
        <v>189</v>
      </c>
      <c r="AK5" s="208" t="s">
        <v>24</v>
      </c>
      <c r="AL5" s="209" t="s">
        <v>84</v>
      </c>
      <c r="AM5" s="209" t="s">
        <v>69</v>
      </c>
      <c r="AN5" s="210" t="s">
        <v>188</v>
      </c>
      <c r="AO5" s="209" t="s">
        <v>29</v>
      </c>
      <c r="AP5" s="211" t="s">
        <v>189</v>
      </c>
    </row>
    <row r="6" spans="2:42" ht="16.5" thickTop="1">
      <c r="B6" s="67" t="s">
        <v>32</v>
      </c>
      <c r="C6" s="5">
        <v>544924.71</v>
      </c>
      <c r="D6" s="5">
        <v>214925</v>
      </c>
      <c r="E6" s="68">
        <f aca="true" t="shared" si="0" ref="E6:E12">+D6-C6</f>
        <v>-329999.70999999996</v>
      </c>
      <c r="F6" s="5">
        <v>214925</v>
      </c>
      <c r="G6" s="155">
        <f>+F6-C6</f>
        <v>-329999.70999999996</v>
      </c>
      <c r="I6" s="67" t="s">
        <v>32</v>
      </c>
      <c r="J6" s="5">
        <v>544924.71</v>
      </c>
      <c r="K6" s="5">
        <v>544924.71</v>
      </c>
      <c r="L6" s="68">
        <f aca="true" t="shared" si="1" ref="L6:L12">+K6-J6</f>
        <v>0</v>
      </c>
      <c r="M6" s="5">
        <v>214925</v>
      </c>
      <c r="N6" s="155">
        <f>+M6-J6</f>
        <v>-329999.70999999996</v>
      </c>
      <c r="P6" s="67" t="s">
        <v>32</v>
      </c>
      <c r="Q6" s="5">
        <v>553924.71</v>
      </c>
      <c r="R6" s="5">
        <v>544924.71</v>
      </c>
      <c r="S6" s="68">
        <f aca="true" t="shared" si="2" ref="S6:S12">+R6-Q6</f>
        <v>-9000</v>
      </c>
      <c r="T6" s="5">
        <v>214925</v>
      </c>
      <c r="U6" s="155">
        <f>+T6-Q6</f>
        <v>-338999.70999999996</v>
      </c>
      <c r="W6" s="67" t="s">
        <v>32</v>
      </c>
      <c r="X6" s="5">
        <v>568924.71</v>
      </c>
      <c r="Y6" s="5">
        <v>553924.71</v>
      </c>
      <c r="Z6" s="68">
        <f aca="true" t="shared" si="3" ref="Z6:Z12">+Y6-X6</f>
        <v>-15000</v>
      </c>
      <c r="AA6" s="5">
        <v>214925</v>
      </c>
      <c r="AB6" s="155">
        <f>+AA6-X6</f>
        <v>-353999.70999999996</v>
      </c>
      <c r="AD6" s="67" t="s">
        <v>32</v>
      </c>
      <c r="AE6" s="5">
        <v>568924.71</v>
      </c>
      <c r="AF6" s="5">
        <v>568924.71</v>
      </c>
      <c r="AG6" s="68">
        <f aca="true" t="shared" si="4" ref="AG6:AG12">+AF6-AE6</f>
        <v>0</v>
      </c>
      <c r="AH6" s="5">
        <v>214925</v>
      </c>
      <c r="AI6" s="155">
        <f>+AH6-AE6</f>
        <v>-353999.70999999996</v>
      </c>
      <c r="AK6" s="67" t="s">
        <v>32</v>
      </c>
      <c r="AL6" s="5">
        <v>158009.94</v>
      </c>
      <c r="AM6" s="5">
        <v>300859.58</v>
      </c>
      <c r="AN6" s="68">
        <v>142849.64</v>
      </c>
      <c r="AO6" s="5">
        <v>214925</v>
      </c>
      <c r="AP6" s="155">
        <v>56915.06</v>
      </c>
    </row>
    <row r="7" spans="2:42" ht="15.75">
      <c r="B7" s="67" t="s">
        <v>30</v>
      </c>
      <c r="C7" s="5">
        <v>67955649.37</v>
      </c>
      <c r="D7" s="5">
        <v>21764275</v>
      </c>
      <c r="E7" s="68">
        <f t="shared" si="0"/>
        <v>-46191374.370000005</v>
      </c>
      <c r="F7" s="5">
        <v>21764275</v>
      </c>
      <c r="G7" s="155">
        <f>+F7-C7</f>
        <v>-46191374.370000005</v>
      </c>
      <c r="I7" s="67" t="s">
        <v>30</v>
      </c>
      <c r="J7" s="5">
        <v>105835219.4</v>
      </c>
      <c r="K7" s="5">
        <v>67955649.37</v>
      </c>
      <c r="L7" s="68">
        <f t="shared" si="1"/>
        <v>-37879570.03</v>
      </c>
      <c r="M7" s="5">
        <v>21764275</v>
      </c>
      <c r="N7" s="155">
        <f>+M7-J7</f>
        <v>-84070944.4</v>
      </c>
      <c r="P7" s="67" t="s">
        <v>30</v>
      </c>
      <c r="Q7" s="5">
        <v>150129574.46</v>
      </c>
      <c r="R7" s="5">
        <v>105835219.4</v>
      </c>
      <c r="S7" s="68">
        <f t="shared" si="2"/>
        <v>-44294355.06</v>
      </c>
      <c r="T7" s="5">
        <v>21764275</v>
      </c>
      <c r="U7" s="155">
        <f>+T7-Q7</f>
        <v>-128365299.46000001</v>
      </c>
      <c r="W7" s="67" t="s">
        <v>30</v>
      </c>
      <c r="X7" s="5">
        <v>96582343.33</v>
      </c>
      <c r="Y7" s="5">
        <v>150129574.46</v>
      </c>
      <c r="Z7" s="68">
        <f t="shared" si="3"/>
        <v>53547231.13000001</v>
      </c>
      <c r="AA7" s="5">
        <v>21764275</v>
      </c>
      <c r="AB7" s="155">
        <f>+AA7-X7</f>
        <v>-74818068.33</v>
      </c>
      <c r="AD7" s="67" t="s">
        <v>30</v>
      </c>
      <c r="AE7" s="5">
        <v>128387331.86</v>
      </c>
      <c r="AF7" s="5">
        <v>96582343.33</v>
      </c>
      <c r="AG7" s="68">
        <f t="shared" si="4"/>
        <v>-31804988.53</v>
      </c>
      <c r="AH7" s="5">
        <v>21764275</v>
      </c>
      <c r="AI7" s="155">
        <f>+AH7-AE7</f>
        <v>-106623056.86</v>
      </c>
      <c r="AK7" s="67" t="s">
        <v>30</v>
      </c>
      <c r="AL7" s="5">
        <v>38799038.02</v>
      </c>
      <c r="AM7" s="5">
        <v>22904918.28</v>
      </c>
      <c r="AN7" s="68">
        <v>-15894119.740000002</v>
      </c>
      <c r="AO7" s="5">
        <v>21764275</v>
      </c>
      <c r="AP7" s="155">
        <v>-17034763.020000003</v>
      </c>
    </row>
    <row r="8" spans="2:42" ht="15.75">
      <c r="B8" s="67" t="s">
        <v>31</v>
      </c>
      <c r="C8" s="5">
        <v>0</v>
      </c>
      <c r="D8" s="5"/>
      <c r="E8" s="68">
        <f t="shared" si="0"/>
        <v>0</v>
      </c>
      <c r="F8" s="5"/>
      <c r="G8" s="155">
        <f>+F8-C8</f>
        <v>0</v>
      </c>
      <c r="I8" s="67" t="s">
        <v>31</v>
      </c>
      <c r="J8" s="5">
        <v>0</v>
      </c>
      <c r="K8" s="5">
        <v>0</v>
      </c>
      <c r="L8" s="68">
        <f t="shared" si="1"/>
        <v>0</v>
      </c>
      <c r="M8" s="5"/>
      <c r="N8" s="155">
        <f>+M8-J8</f>
        <v>0</v>
      </c>
      <c r="P8" s="67" t="s">
        <v>31</v>
      </c>
      <c r="Q8" s="5">
        <v>0</v>
      </c>
      <c r="R8" s="5">
        <v>0</v>
      </c>
      <c r="S8" s="68">
        <f t="shared" si="2"/>
        <v>0</v>
      </c>
      <c r="T8" s="5"/>
      <c r="U8" s="155">
        <f>+T8-Q8</f>
        <v>0</v>
      </c>
      <c r="W8" s="67" t="s">
        <v>31</v>
      </c>
      <c r="X8" s="5">
        <v>0</v>
      </c>
      <c r="Y8" s="5">
        <v>0</v>
      </c>
      <c r="Z8" s="68">
        <f t="shared" si="3"/>
        <v>0</v>
      </c>
      <c r="AA8" s="5"/>
      <c r="AB8" s="155">
        <f>+AA8-X8</f>
        <v>0</v>
      </c>
      <c r="AD8" s="67" t="s">
        <v>31</v>
      </c>
      <c r="AE8" s="5">
        <v>0</v>
      </c>
      <c r="AF8" s="5">
        <v>0</v>
      </c>
      <c r="AG8" s="68">
        <f t="shared" si="4"/>
        <v>0</v>
      </c>
      <c r="AH8" s="5"/>
      <c r="AI8" s="155">
        <f>+AH8-AE8</f>
        <v>0</v>
      </c>
      <c r="AK8" s="67" t="s">
        <v>31</v>
      </c>
      <c r="AL8" s="68">
        <v>0</v>
      </c>
      <c r="AM8" s="68">
        <v>0</v>
      </c>
      <c r="AN8" s="68">
        <v>0</v>
      </c>
      <c r="AO8" s="5"/>
      <c r="AP8" s="155">
        <v>0</v>
      </c>
    </row>
    <row r="9" spans="2:42" ht="15.75">
      <c r="B9" s="67" t="s">
        <v>33</v>
      </c>
      <c r="C9" s="5">
        <v>22343516.29</v>
      </c>
      <c r="D9" s="5">
        <v>61284652</v>
      </c>
      <c r="E9" s="68">
        <f t="shared" si="0"/>
        <v>38941135.71</v>
      </c>
      <c r="F9" s="5">
        <v>61284652</v>
      </c>
      <c r="G9" s="155">
        <f>+F9-C9-1</f>
        <v>38941134.71</v>
      </c>
      <c r="I9" s="67" t="s">
        <v>33</v>
      </c>
      <c r="J9" s="5">
        <v>2563362.08</v>
      </c>
      <c r="K9" s="5">
        <v>22343516.29</v>
      </c>
      <c r="L9" s="68">
        <f t="shared" si="1"/>
        <v>19780154.21</v>
      </c>
      <c r="M9" s="5">
        <v>61284652</v>
      </c>
      <c r="N9" s="155">
        <f>+M9-J9-1</f>
        <v>58721288.92</v>
      </c>
      <c r="P9" s="67" t="s">
        <v>33</v>
      </c>
      <c r="Q9" s="5">
        <v>3143087.63</v>
      </c>
      <c r="R9" s="5">
        <v>2563362.08</v>
      </c>
      <c r="S9" s="68">
        <f t="shared" si="2"/>
        <v>-579725.5499999998</v>
      </c>
      <c r="T9" s="5">
        <v>61284652</v>
      </c>
      <c r="U9" s="155">
        <f>+T9-Q9-1</f>
        <v>58141563.37</v>
      </c>
      <c r="W9" s="67" t="s">
        <v>33</v>
      </c>
      <c r="X9" s="5">
        <v>2897947.61</v>
      </c>
      <c r="Y9" s="5">
        <v>3143087.63</v>
      </c>
      <c r="Z9" s="68">
        <f t="shared" si="3"/>
        <v>245140.02000000002</v>
      </c>
      <c r="AA9" s="5">
        <v>61284652</v>
      </c>
      <c r="AB9" s="155">
        <f>+AA9-X9-1</f>
        <v>58386703.39</v>
      </c>
      <c r="AD9" s="67" t="s">
        <v>33</v>
      </c>
      <c r="AE9" s="5">
        <v>3600122.3</v>
      </c>
      <c r="AF9" s="5">
        <v>2897947.61</v>
      </c>
      <c r="AG9" s="68">
        <f t="shared" si="4"/>
        <v>-702174.69</v>
      </c>
      <c r="AH9" s="5">
        <v>61284652</v>
      </c>
      <c r="AI9" s="155">
        <f>+AH9-AE9-1</f>
        <v>57684528.7</v>
      </c>
      <c r="AK9" s="67" t="s">
        <v>33</v>
      </c>
      <c r="AL9" s="5">
        <v>2348318.75</v>
      </c>
      <c r="AM9" s="5">
        <v>3007488.55</v>
      </c>
      <c r="AN9" s="68">
        <v>659169.7999999998</v>
      </c>
      <c r="AO9" s="5">
        <v>61284652</v>
      </c>
      <c r="AP9" s="155">
        <v>58936332.25</v>
      </c>
    </row>
    <row r="10" spans="2:42" ht="15.75">
      <c r="B10" s="67" t="s">
        <v>34</v>
      </c>
      <c r="C10" s="68">
        <v>0</v>
      </c>
      <c r="D10" s="68"/>
      <c r="E10" s="68">
        <f t="shared" si="0"/>
        <v>0</v>
      </c>
      <c r="F10" s="68"/>
      <c r="G10" s="155">
        <f>+F10-C10</f>
        <v>0</v>
      </c>
      <c r="I10" s="67" t="s">
        <v>34</v>
      </c>
      <c r="J10" s="68">
        <v>0</v>
      </c>
      <c r="K10" s="68">
        <v>0</v>
      </c>
      <c r="L10" s="68">
        <f t="shared" si="1"/>
        <v>0</v>
      </c>
      <c r="M10" s="68"/>
      <c r="N10" s="155">
        <f>+M10-J10</f>
        <v>0</v>
      </c>
      <c r="P10" s="67" t="s">
        <v>34</v>
      </c>
      <c r="Q10" s="68">
        <v>0</v>
      </c>
      <c r="R10" s="68">
        <v>0</v>
      </c>
      <c r="S10" s="68">
        <f t="shared" si="2"/>
        <v>0</v>
      </c>
      <c r="T10" s="68"/>
      <c r="U10" s="155">
        <f>+T10-Q10</f>
        <v>0</v>
      </c>
      <c r="W10" s="67" t="s">
        <v>34</v>
      </c>
      <c r="X10" s="68">
        <v>0</v>
      </c>
      <c r="Y10" s="68">
        <v>0</v>
      </c>
      <c r="Z10" s="68">
        <f t="shared" si="3"/>
        <v>0</v>
      </c>
      <c r="AA10" s="68"/>
      <c r="AB10" s="155">
        <f>+AA10-X10</f>
        <v>0</v>
      </c>
      <c r="AD10" s="67" t="s">
        <v>34</v>
      </c>
      <c r="AE10" s="68">
        <v>0</v>
      </c>
      <c r="AF10" s="68">
        <v>0</v>
      </c>
      <c r="AG10" s="68">
        <f t="shared" si="4"/>
        <v>0</v>
      </c>
      <c r="AH10" s="68"/>
      <c r="AI10" s="155">
        <f>+AH10-AE10</f>
        <v>0</v>
      </c>
      <c r="AK10" s="67" t="s">
        <v>34</v>
      </c>
      <c r="AL10" s="68">
        <v>0</v>
      </c>
      <c r="AM10" s="68">
        <v>0</v>
      </c>
      <c r="AN10" s="68">
        <v>0</v>
      </c>
      <c r="AO10" s="68"/>
      <c r="AP10" s="155">
        <v>0</v>
      </c>
    </row>
    <row r="11" spans="2:42" ht="15.75">
      <c r="B11" s="67" t="s">
        <v>62</v>
      </c>
      <c r="C11" s="68">
        <v>0</v>
      </c>
      <c r="D11" s="68"/>
      <c r="E11" s="68">
        <f t="shared" si="0"/>
        <v>0</v>
      </c>
      <c r="F11" s="68"/>
      <c r="G11" s="155">
        <f>+F11-C11</f>
        <v>0</v>
      </c>
      <c r="I11" s="67" t="s">
        <v>62</v>
      </c>
      <c r="J11" s="68">
        <v>0</v>
      </c>
      <c r="K11" s="68">
        <v>0</v>
      </c>
      <c r="L11" s="68">
        <f t="shared" si="1"/>
        <v>0</v>
      </c>
      <c r="M11" s="68"/>
      <c r="N11" s="155">
        <f>+M11-J11</f>
        <v>0</v>
      </c>
      <c r="P11" s="67" t="s">
        <v>62</v>
      </c>
      <c r="Q11" s="68">
        <v>0</v>
      </c>
      <c r="R11" s="68">
        <v>0</v>
      </c>
      <c r="S11" s="68">
        <f t="shared" si="2"/>
        <v>0</v>
      </c>
      <c r="T11" s="68"/>
      <c r="U11" s="155">
        <f>+T11-Q11</f>
        <v>0</v>
      </c>
      <c r="W11" s="67" t="s">
        <v>62</v>
      </c>
      <c r="X11" s="68">
        <v>0</v>
      </c>
      <c r="Y11" s="68">
        <v>0</v>
      </c>
      <c r="Z11" s="68">
        <f t="shared" si="3"/>
        <v>0</v>
      </c>
      <c r="AA11" s="68"/>
      <c r="AB11" s="155">
        <f>+AA11-X11</f>
        <v>0</v>
      </c>
      <c r="AD11" s="67" t="s">
        <v>62</v>
      </c>
      <c r="AE11" s="68">
        <v>0</v>
      </c>
      <c r="AF11" s="68">
        <v>0</v>
      </c>
      <c r="AG11" s="68">
        <f t="shared" si="4"/>
        <v>0</v>
      </c>
      <c r="AH11" s="68"/>
      <c r="AI11" s="155">
        <f>+AH11-AE11</f>
        <v>0</v>
      </c>
      <c r="AK11" s="67" t="s">
        <v>62</v>
      </c>
      <c r="AL11" s="68">
        <v>0</v>
      </c>
      <c r="AM11" s="68">
        <v>0</v>
      </c>
      <c r="AN11" s="68">
        <v>0</v>
      </c>
      <c r="AO11" s="68"/>
      <c r="AP11" s="155">
        <v>0</v>
      </c>
    </row>
    <row r="12" spans="2:42" ht="15.75">
      <c r="B12" s="67" t="s">
        <v>232</v>
      </c>
      <c r="C12" s="68">
        <v>58248.67</v>
      </c>
      <c r="D12" s="68">
        <v>3153</v>
      </c>
      <c r="E12" s="68">
        <f t="shared" si="0"/>
        <v>-55095.67</v>
      </c>
      <c r="F12" s="68">
        <v>3153</v>
      </c>
      <c r="G12" s="155">
        <f>+F12-C12</f>
        <v>-55095.67</v>
      </c>
      <c r="I12" s="67" t="s">
        <v>232</v>
      </c>
      <c r="J12" s="68">
        <v>741227.96</v>
      </c>
      <c r="K12" s="68">
        <v>58248.67</v>
      </c>
      <c r="L12" s="68">
        <f t="shared" si="1"/>
        <v>-682979.2899999999</v>
      </c>
      <c r="M12" s="68">
        <v>3153</v>
      </c>
      <c r="N12" s="155">
        <f>+M12-J12</f>
        <v>-738074.96</v>
      </c>
      <c r="P12" s="67" t="s">
        <v>232</v>
      </c>
      <c r="Q12" s="5">
        <v>595391.05</v>
      </c>
      <c r="R12" s="5">
        <v>741227.96</v>
      </c>
      <c r="S12" s="5">
        <f t="shared" si="2"/>
        <v>145836.90999999992</v>
      </c>
      <c r="T12" s="5">
        <v>3153</v>
      </c>
      <c r="U12" s="155">
        <f>+T12-Q12</f>
        <v>-592238.05</v>
      </c>
      <c r="W12" s="67" t="s">
        <v>232</v>
      </c>
      <c r="X12" s="5">
        <v>608897.79</v>
      </c>
      <c r="Y12" s="5">
        <v>595391.05</v>
      </c>
      <c r="Z12" s="68">
        <f t="shared" si="3"/>
        <v>-13506.73999999999</v>
      </c>
      <c r="AA12" s="5">
        <v>3153</v>
      </c>
      <c r="AB12" s="155">
        <f>+AA12-X12</f>
        <v>-605744.79</v>
      </c>
      <c r="AD12" s="67" t="s">
        <v>232</v>
      </c>
      <c r="AE12" s="5">
        <v>718271.05</v>
      </c>
      <c r="AF12" s="5">
        <v>608897.79</v>
      </c>
      <c r="AG12" s="68">
        <f t="shared" si="4"/>
        <v>-109373.26000000001</v>
      </c>
      <c r="AH12" s="5">
        <v>3153</v>
      </c>
      <c r="AI12" s="155">
        <f>+AH12-AE12</f>
        <v>-715118.05</v>
      </c>
      <c r="AK12" s="67" t="s">
        <v>232</v>
      </c>
      <c r="AL12" s="5">
        <v>22404.5</v>
      </c>
      <c r="AM12" s="5">
        <v>2290.86</v>
      </c>
      <c r="AN12" s="68">
        <v>-20113.64</v>
      </c>
      <c r="AO12" s="5">
        <v>3153</v>
      </c>
      <c r="AP12" s="155">
        <v>-19251.5</v>
      </c>
    </row>
    <row r="13" spans="2:42" ht="16.5" thickBot="1">
      <c r="B13" s="69" t="s">
        <v>101</v>
      </c>
      <c r="C13" s="17">
        <f>SUM(C6:C12)</f>
        <v>90902339.04</v>
      </c>
      <c r="D13" s="17">
        <f>SUM(D6:D12)</f>
        <v>83267005</v>
      </c>
      <c r="E13" s="77">
        <f>SUM(E6:E12)</f>
        <v>-7635334.040000005</v>
      </c>
      <c r="F13" s="17">
        <f>SUM(F6:F12)</f>
        <v>83267005</v>
      </c>
      <c r="G13" s="157">
        <f>SUM(G6:G12)+1</f>
        <v>-7635334.040000005</v>
      </c>
      <c r="I13" s="69" t="s">
        <v>101</v>
      </c>
      <c r="J13" s="17">
        <f>SUM(J6:J12)</f>
        <v>109684734.14999999</v>
      </c>
      <c r="K13" s="17">
        <f>SUM(K6:K12)</f>
        <v>90902339.04</v>
      </c>
      <c r="L13" s="77">
        <f>SUM(L6:L12)</f>
        <v>-18782395.11</v>
      </c>
      <c r="M13" s="17">
        <f>SUM(M6:M12)</f>
        <v>83267005</v>
      </c>
      <c r="N13" s="157">
        <f>SUM(N6:N12)+1</f>
        <v>-26417729.15</v>
      </c>
      <c r="P13" s="218" t="s">
        <v>101</v>
      </c>
      <c r="Q13" s="219">
        <f>SUM(Q6:Q12)</f>
        <v>154421977.85000002</v>
      </c>
      <c r="R13" s="219">
        <f>SUM(R6:R12)</f>
        <v>109684734.14999999</v>
      </c>
      <c r="S13" s="220">
        <f>SUM(S6:S12)</f>
        <v>-44737243.7</v>
      </c>
      <c r="T13" s="219">
        <f>SUM(T6:T12)</f>
        <v>83267005</v>
      </c>
      <c r="U13" s="221">
        <f>SUM(U6:U12)+1</f>
        <v>-71154972.85000001</v>
      </c>
      <c r="W13" s="218" t="s">
        <v>101</v>
      </c>
      <c r="X13" s="219">
        <f>SUM(X6:X12)</f>
        <v>100658113.44</v>
      </c>
      <c r="Y13" s="219">
        <f>SUM(Y6:Y12)</f>
        <v>154421977.85000002</v>
      </c>
      <c r="Z13" s="220">
        <f>SUM(Z6:Z12)</f>
        <v>53763864.41000001</v>
      </c>
      <c r="AA13" s="219">
        <f>SUM(AA6:AA12)</f>
        <v>83267005</v>
      </c>
      <c r="AB13" s="221">
        <f>SUM(AB6:AB12)+1</f>
        <v>-17391108.43999999</v>
      </c>
      <c r="AD13" s="218" t="s">
        <v>101</v>
      </c>
      <c r="AE13" s="219">
        <f>SUM(AE6:AE12)</f>
        <v>133274649.91999999</v>
      </c>
      <c r="AF13" s="219">
        <f>SUM(AF6:AF12)</f>
        <v>100658113.44</v>
      </c>
      <c r="AG13" s="220">
        <f>SUM(AG6:AG12)</f>
        <v>-32616536.480000004</v>
      </c>
      <c r="AH13" s="219">
        <f>SUM(AH6:AH12)</f>
        <v>83267005</v>
      </c>
      <c r="AI13" s="221">
        <f>SUM(AI6:AI12)+1</f>
        <v>-50007644.91999999</v>
      </c>
      <c r="AK13" s="218" t="s">
        <v>101</v>
      </c>
      <c r="AL13" s="219">
        <v>41327771.21</v>
      </c>
      <c r="AM13" s="219">
        <v>26215557.27</v>
      </c>
      <c r="AN13" s="220">
        <v>-15112213.940000001</v>
      </c>
      <c r="AO13" s="219">
        <v>83267005</v>
      </c>
      <c r="AP13" s="221">
        <v>41939233.78999999</v>
      </c>
    </row>
    <row r="14" spans="2:42" ht="16.5" thickTop="1">
      <c r="B14" s="71"/>
      <c r="C14" s="13"/>
      <c r="D14" s="13"/>
      <c r="E14" s="72"/>
      <c r="F14" s="13"/>
      <c r="G14" s="14"/>
      <c r="I14" s="71"/>
      <c r="J14" s="13"/>
      <c r="K14" s="13"/>
      <c r="L14" s="72"/>
      <c r="M14" s="13"/>
      <c r="N14" s="14"/>
      <c r="P14" s="71"/>
      <c r="Q14" s="13"/>
      <c r="R14" s="13"/>
      <c r="S14" s="72"/>
      <c r="T14" s="13"/>
      <c r="U14" s="14"/>
      <c r="W14" s="71"/>
      <c r="X14" s="13"/>
      <c r="Y14" s="13"/>
      <c r="Z14" s="72"/>
      <c r="AA14" s="13"/>
      <c r="AB14" s="14"/>
      <c r="AD14" s="71"/>
      <c r="AE14" s="13"/>
      <c r="AF14" s="13"/>
      <c r="AG14" s="72"/>
      <c r="AH14" s="13"/>
      <c r="AI14" s="14"/>
      <c r="AK14" s="71"/>
      <c r="AL14" s="13"/>
      <c r="AM14" s="13"/>
      <c r="AN14" s="72"/>
      <c r="AO14" s="13"/>
      <c r="AP14" s="14"/>
    </row>
    <row r="15" spans="2:42" ht="15.75">
      <c r="B15" s="67"/>
      <c r="C15" s="5"/>
      <c r="D15" s="5"/>
      <c r="E15" s="31"/>
      <c r="F15" s="5"/>
      <c r="G15" s="8"/>
      <c r="I15" s="67"/>
      <c r="J15" s="5"/>
      <c r="K15" s="5"/>
      <c r="L15" s="31"/>
      <c r="M15" s="5"/>
      <c r="N15" s="8"/>
      <c r="P15" s="67"/>
      <c r="Q15" s="5"/>
      <c r="R15" s="5"/>
      <c r="S15" s="31"/>
      <c r="T15" s="5"/>
      <c r="U15" s="8"/>
      <c r="W15" s="67"/>
      <c r="X15" s="5"/>
      <c r="Y15" s="5"/>
      <c r="Z15" s="31"/>
      <c r="AA15" s="5"/>
      <c r="AB15" s="8"/>
      <c r="AD15" s="67"/>
      <c r="AE15" s="5"/>
      <c r="AF15" s="5"/>
      <c r="AG15" s="31"/>
      <c r="AH15" s="5"/>
      <c r="AI15" s="8"/>
      <c r="AK15" s="67"/>
      <c r="AL15" s="5"/>
      <c r="AM15" s="5"/>
      <c r="AN15" s="31"/>
      <c r="AO15" s="5"/>
      <c r="AP15" s="8"/>
    </row>
    <row r="16" spans="2:42" ht="15.75">
      <c r="B16" s="67" t="s">
        <v>35</v>
      </c>
      <c r="C16" s="5">
        <v>5063786.43</v>
      </c>
      <c r="D16" s="5">
        <v>5048787</v>
      </c>
      <c r="E16" s="68">
        <f aca="true" t="shared" si="5" ref="E16:E22">+D16-C16</f>
        <v>-14999.429999999702</v>
      </c>
      <c r="F16" s="5">
        <v>5048787</v>
      </c>
      <c r="G16" s="155">
        <f aca="true" t="shared" si="6" ref="G16:G22">+F16-C16</f>
        <v>-14999.429999999702</v>
      </c>
      <c r="I16" s="67" t="s">
        <v>35</v>
      </c>
      <c r="J16" s="5">
        <v>5066094.83</v>
      </c>
      <c r="K16" s="5">
        <v>5063786.43</v>
      </c>
      <c r="L16" s="68">
        <f aca="true" t="shared" si="7" ref="L16:L22">+K16-J16</f>
        <v>-2308.4000000003725</v>
      </c>
      <c r="M16" s="5">
        <v>5048787</v>
      </c>
      <c r="N16" s="155">
        <f aca="true" t="shared" si="8" ref="N16:N22">+M16-J16</f>
        <v>-17307.830000000075</v>
      </c>
      <c r="P16" s="67" t="s">
        <v>35</v>
      </c>
      <c r="Q16" s="5">
        <v>5094864.04</v>
      </c>
      <c r="R16" s="5">
        <v>5066094.83</v>
      </c>
      <c r="S16" s="68">
        <f aca="true" t="shared" si="9" ref="S16:S22">+R16-Q16</f>
        <v>-28769.209999999963</v>
      </c>
      <c r="T16" s="5">
        <v>5048787</v>
      </c>
      <c r="U16" s="155">
        <f aca="true" t="shared" si="10" ref="U16:U22">+T16-Q16</f>
        <v>-46077.04000000004</v>
      </c>
      <c r="W16" s="67" t="s">
        <v>35</v>
      </c>
      <c r="X16" s="5">
        <v>5384893.74</v>
      </c>
      <c r="Y16" s="5">
        <v>5094864.04</v>
      </c>
      <c r="Z16" s="68">
        <f aca="true" t="shared" si="11" ref="Z16:Z22">+Y16-X16</f>
        <v>-290029.7000000002</v>
      </c>
      <c r="AA16" s="5">
        <v>5048787</v>
      </c>
      <c r="AB16" s="155">
        <f aca="true" t="shared" si="12" ref="AB16:AB22">+AA16-X16</f>
        <v>-336106.7400000002</v>
      </c>
      <c r="AD16" s="67" t="s">
        <v>35</v>
      </c>
      <c r="AE16" s="5">
        <v>5518127.96</v>
      </c>
      <c r="AF16" s="5">
        <v>5384893.74</v>
      </c>
      <c r="AG16" s="68">
        <f aca="true" t="shared" si="13" ref="AG16:AG22">+AF16-AE16</f>
        <v>-133234.21999999974</v>
      </c>
      <c r="AH16" s="5">
        <v>5048787</v>
      </c>
      <c r="AI16" s="155">
        <f aca="true" t="shared" si="14" ref="AI16:AI22">+AH16-AE16</f>
        <v>-469340.95999999996</v>
      </c>
      <c r="AK16" s="67" t="s">
        <v>35</v>
      </c>
      <c r="AL16" s="5">
        <v>5726392.4</v>
      </c>
      <c r="AM16" s="5">
        <v>5729593.4</v>
      </c>
      <c r="AN16" s="68">
        <v>3201</v>
      </c>
      <c r="AO16" s="5">
        <v>5048787</v>
      </c>
      <c r="AP16" s="155">
        <v>-677605.4000000004</v>
      </c>
    </row>
    <row r="17" spans="2:42" ht="15.75">
      <c r="B17" s="67" t="s">
        <v>36</v>
      </c>
      <c r="C17" s="5">
        <v>2796941.33</v>
      </c>
      <c r="D17" s="5">
        <v>2796941</v>
      </c>
      <c r="E17" s="68">
        <f t="shared" si="5"/>
        <v>-0.3300000000745058</v>
      </c>
      <c r="F17" s="5">
        <v>2796941</v>
      </c>
      <c r="G17" s="155">
        <f t="shared" si="6"/>
        <v>-0.3300000000745058</v>
      </c>
      <c r="I17" s="67" t="s">
        <v>36</v>
      </c>
      <c r="J17" s="5">
        <v>2796941.33</v>
      </c>
      <c r="K17" s="5">
        <v>2796941.33</v>
      </c>
      <c r="L17" s="68">
        <f t="shared" si="7"/>
        <v>0</v>
      </c>
      <c r="M17" s="5">
        <v>2796941</v>
      </c>
      <c r="N17" s="155">
        <f t="shared" si="8"/>
        <v>-0.3300000000745058</v>
      </c>
      <c r="P17" s="67" t="s">
        <v>36</v>
      </c>
      <c r="Q17" s="5">
        <v>2796941.33</v>
      </c>
      <c r="R17" s="5">
        <v>2796941.33</v>
      </c>
      <c r="S17" s="68">
        <f t="shared" si="9"/>
        <v>0</v>
      </c>
      <c r="T17" s="5">
        <v>2796941</v>
      </c>
      <c r="U17" s="155">
        <f t="shared" si="10"/>
        <v>-0.3300000000745058</v>
      </c>
      <c r="W17" s="67" t="s">
        <v>36</v>
      </c>
      <c r="X17" s="5">
        <v>2796941.33</v>
      </c>
      <c r="Y17" s="5">
        <v>2796941.33</v>
      </c>
      <c r="Z17" s="68">
        <f t="shared" si="11"/>
        <v>0</v>
      </c>
      <c r="AA17" s="5">
        <v>2796941</v>
      </c>
      <c r="AB17" s="155">
        <f t="shared" si="12"/>
        <v>-0.3300000000745058</v>
      </c>
      <c r="AD17" s="67" t="s">
        <v>36</v>
      </c>
      <c r="AE17" s="5">
        <v>2796941.33</v>
      </c>
      <c r="AF17" s="5">
        <v>2796941.33</v>
      </c>
      <c r="AG17" s="68">
        <f t="shared" si="13"/>
        <v>0</v>
      </c>
      <c r="AH17" s="5">
        <v>2796941</v>
      </c>
      <c r="AI17" s="155">
        <f t="shared" si="14"/>
        <v>-0.3300000000745058</v>
      </c>
      <c r="AK17" s="67" t="s">
        <v>36</v>
      </c>
      <c r="AL17" s="5">
        <v>2796941.33</v>
      </c>
      <c r="AM17" s="5">
        <v>2796941.33</v>
      </c>
      <c r="AN17" s="68">
        <v>0</v>
      </c>
      <c r="AO17" s="5">
        <v>2796941</v>
      </c>
      <c r="AP17" s="155">
        <v>-0.3300000000745058</v>
      </c>
    </row>
    <row r="18" spans="2:42" ht="15.75">
      <c r="B18" s="67" t="s">
        <v>56</v>
      </c>
      <c r="C18" s="5">
        <v>30715714.54</v>
      </c>
      <c r="D18" s="5">
        <v>30715715</v>
      </c>
      <c r="E18" s="68">
        <f t="shared" si="5"/>
        <v>0.46000000089406967</v>
      </c>
      <c r="F18" s="5">
        <v>30715715</v>
      </c>
      <c r="G18" s="155">
        <f t="shared" si="6"/>
        <v>0.46000000089406967</v>
      </c>
      <c r="I18" s="67" t="s">
        <v>56</v>
      </c>
      <c r="J18" s="5">
        <v>30961226.12</v>
      </c>
      <c r="K18" s="5">
        <v>30715714.54</v>
      </c>
      <c r="L18" s="68">
        <f t="shared" si="7"/>
        <v>-245511.58000000194</v>
      </c>
      <c r="M18" s="5">
        <v>30715715</v>
      </c>
      <c r="N18" s="155">
        <f t="shared" si="8"/>
        <v>-245511.12000000104</v>
      </c>
      <c r="P18" s="67" t="s">
        <v>56</v>
      </c>
      <c r="Q18" s="5">
        <v>31914584.73</v>
      </c>
      <c r="R18" s="5">
        <v>30961226.12</v>
      </c>
      <c r="S18" s="68">
        <f t="shared" si="9"/>
        <v>-953358.6099999994</v>
      </c>
      <c r="T18" s="5">
        <v>30715715</v>
      </c>
      <c r="U18" s="155">
        <f t="shared" si="10"/>
        <v>-1198869.7300000004</v>
      </c>
      <c r="W18" s="67" t="s">
        <v>56</v>
      </c>
      <c r="X18" s="5">
        <v>47670199.94</v>
      </c>
      <c r="Y18" s="5">
        <v>31914584.73</v>
      </c>
      <c r="Z18" s="68">
        <f t="shared" si="11"/>
        <v>-15755615.209999997</v>
      </c>
      <c r="AA18" s="5">
        <v>30715715</v>
      </c>
      <c r="AB18" s="155">
        <f t="shared" si="12"/>
        <v>-16954484.939999998</v>
      </c>
      <c r="AD18" s="67" t="s">
        <v>56</v>
      </c>
      <c r="AE18" s="5">
        <v>47670199.94</v>
      </c>
      <c r="AF18" s="5">
        <v>47670199.94</v>
      </c>
      <c r="AG18" s="68">
        <f t="shared" si="13"/>
        <v>0</v>
      </c>
      <c r="AH18" s="5">
        <v>30715715</v>
      </c>
      <c r="AI18" s="155">
        <f t="shared" si="14"/>
        <v>-16954484.939999998</v>
      </c>
      <c r="AK18" s="67" t="s">
        <v>56</v>
      </c>
      <c r="AL18" s="5">
        <v>47740912.23</v>
      </c>
      <c r="AM18" s="5">
        <v>47740912.23</v>
      </c>
      <c r="AN18" s="68">
        <v>0</v>
      </c>
      <c r="AO18" s="5">
        <v>30715715</v>
      </c>
      <c r="AP18" s="155">
        <v>-17025197.229999997</v>
      </c>
    </row>
    <row r="19" spans="2:42" ht="15.75">
      <c r="B19" s="67" t="s">
        <v>37</v>
      </c>
      <c r="C19" s="5">
        <v>347705.97</v>
      </c>
      <c r="D19" s="5">
        <v>347706</v>
      </c>
      <c r="E19" s="68">
        <f t="shared" si="5"/>
        <v>0.030000000027939677</v>
      </c>
      <c r="F19" s="5">
        <v>347706</v>
      </c>
      <c r="G19" s="155">
        <f t="shared" si="6"/>
        <v>0.030000000027939677</v>
      </c>
      <c r="I19" s="67" t="s">
        <v>37</v>
      </c>
      <c r="J19" s="5">
        <v>347705.97</v>
      </c>
      <c r="K19" s="5">
        <v>347705.97</v>
      </c>
      <c r="L19" s="68">
        <f t="shared" si="7"/>
        <v>0</v>
      </c>
      <c r="M19" s="5">
        <v>347706</v>
      </c>
      <c r="N19" s="155">
        <f t="shared" si="8"/>
        <v>0.030000000027939677</v>
      </c>
      <c r="P19" s="67" t="s">
        <v>37</v>
      </c>
      <c r="Q19" s="5">
        <v>347705.97</v>
      </c>
      <c r="R19" s="5">
        <v>347705.97</v>
      </c>
      <c r="S19" s="68">
        <f t="shared" si="9"/>
        <v>0</v>
      </c>
      <c r="T19" s="5">
        <v>347706</v>
      </c>
      <c r="U19" s="155">
        <f t="shared" si="10"/>
        <v>0.030000000027939677</v>
      </c>
      <c r="W19" s="67" t="s">
        <v>37</v>
      </c>
      <c r="X19" s="5">
        <v>347705.97</v>
      </c>
      <c r="Y19" s="5">
        <v>347705.97</v>
      </c>
      <c r="Z19" s="68">
        <f t="shared" si="11"/>
        <v>0</v>
      </c>
      <c r="AA19" s="5">
        <v>347706</v>
      </c>
      <c r="AB19" s="155">
        <f t="shared" si="12"/>
        <v>0.030000000027939677</v>
      </c>
      <c r="AD19" s="67" t="s">
        <v>37</v>
      </c>
      <c r="AE19" s="5">
        <v>347705.97</v>
      </c>
      <c r="AF19" s="5">
        <v>347705.97</v>
      </c>
      <c r="AG19" s="68">
        <f t="shared" si="13"/>
        <v>0</v>
      </c>
      <c r="AH19" s="5">
        <v>347706</v>
      </c>
      <c r="AI19" s="155">
        <f t="shared" si="14"/>
        <v>0.030000000027939677</v>
      </c>
      <c r="AK19" s="67" t="s">
        <v>37</v>
      </c>
      <c r="AL19" s="5">
        <v>347705.97</v>
      </c>
      <c r="AM19" s="5">
        <v>347705.97</v>
      </c>
      <c r="AN19" s="68">
        <v>0</v>
      </c>
      <c r="AO19" s="5">
        <v>347706</v>
      </c>
      <c r="AP19" s="155">
        <v>0.030000000027939677</v>
      </c>
    </row>
    <row r="20" spans="2:42" ht="15.75">
      <c r="B20" s="67" t="s">
        <v>57</v>
      </c>
      <c r="C20" s="5">
        <v>3706157.86</v>
      </c>
      <c r="D20" s="5">
        <v>2846763</v>
      </c>
      <c r="E20" s="68">
        <f t="shared" si="5"/>
        <v>-859394.8599999999</v>
      </c>
      <c r="F20" s="5">
        <v>2846763</v>
      </c>
      <c r="G20" s="155">
        <f t="shared" si="6"/>
        <v>-859394.8599999999</v>
      </c>
      <c r="I20" s="67" t="s">
        <v>57</v>
      </c>
      <c r="J20" s="5">
        <v>4603773.74</v>
      </c>
      <c r="K20" s="5">
        <v>3706157.86</v>
      </c>
      <c r="L20" s="68">
        <f t="shared" si="7"/>
        <v>-897615.8800000004</v>
      </c>
      <c r="M20" s="5">
        <v>2846763</v>
      </c>
      <c r="N20" s="155">
        <f t="shared" si="8"/>
        <v>-1757010.7400000002</v>
      </c>
      <c r="P20" s="67" t="s">
        <v>57</v>
      </c>
      <c r="Q20" s="5">
        <v>4882985.74</v>
      </c>
      <c r="R20" s="5">
        <v>4603773.74</v>
      </c>
      <c r="S20" s="68">
        <f t="shared" si="9"/>
        <v>-279212</v>
      </c>
      <c r="T20" s="5">
        <v>2846763</v>
      </c>
      <c r="U20" s="155">
        <f t="shared" si="10"/>
        <v>-2036222.7400000002</v>
      </c>
      <c r="W20" s="67" t="s">
        <v>57</v>
      </c>
      <c r="X20" s="5">
        <v>5262497.14</v>
      </c>
      <c r="Y20" s="5">
        <v>4882985.74</v>
      </c>
      <c r="Z20" s="68">
        <f t="shared" si="11"/>
        <v>-379511.39999999944</v>
      </c>
      <c r="AA20" s="5">
        <v>2846763</v>
      </c>
      <c r="AB20" s="155">
        <f t="shared" si="12"/>
        <v>-2415734.1399999997</v>
      </c>
      <c r="AD20" s="67" t="s">
        <v>57</v>
      </c>
      <c r="AE20" s="5">
        <v>5262497.14</v>
      </c>
      <c r="AF20" s="5">
        <v>5262497.14</v>
      </c>
      <c r="AG20" s="68">
        <f t="shared" si="13"/>
        <v>0</v>
      </c>
      <c r="AH20" s="5">
        <v>2846763</v>
      </c>
      <c r="AI20" s="155">
        <f t="shared" si="14"/>
        <v>-2415734.1399999997</v>
      </c>
      <c r="AK20" s="67" t="s">
        <v>57</v>
      </c>
      <c r="AL20" s="5">
        <v>5513443.84</v>
      </c>
      <c r="AM20" s="5">
        <v>5495180.28</v>
      </c>
      <c r="AN20" s="68">
        <v>-18263.55999999959</v>
      </c>
      <c r="AO20" s="5">
        <v>2846763</v>
      </c>
      <c r="AP20" s="155">
        <v>-2666680.84</v>
      </c>
    </row>
    <row r="21" spans="2:42" ht="15.75">
      <c r="B21" s="67" t="s">
        <v>38</v>
      </c>
      <c r="C21" s="5">
        <v>465796.77</v>
      </c>
      <c r="D21" s="5">
        <v>465797</v>
      </c>
      <c r="E21" s="68">
        <f t="shared" si="5"/>
        <v>0.22999999998137355</v>
      </c>
      <c r="F21" s="5">
        <v>465797</v>
      </c>
      <c r="G21" s="155">
        <f t="shared" si="6"/>
        <v>0.22999999998137355</v>
      </c>
      <c r="I21" s="67" t="s">
        <v>38</v>
      </c>
      <c r="J21" s="5">
        <v>465796.77</v>
      </c>
      <c r="K21" s="5">
        <v>465796.77</v>
      </c>
      <c r="L21" s="68">
        <f t="shared" si="7"/>
        <v>0</v>
      </c>
      <c r="M21" s="5">
        <v>465797</v>
      </c>
      <c r="N21" s="155">
        <f t="shared" si="8"/>
        <v>0.22999999998137355</v>
      </c>
      <c r="P21" s="67" t="s">
        <v>38</v>
      </c>
      <c r="Q21" s="5">
        <v>465796.77</v>
      </c>
      <c r="R21" s="5">
        <v>465796.77</v>
      </c>
      <c r="S21" s="68">
        <f t="shared" si="9"/>
        <v>0</v>
      </c>
      <c r="T21" s="5">
        <v>465797</v>
      </c>
      <c r="U21" s="155">
        <f t="shared" si="10"/>
        <v>0.22999999998137355</v>
      </c>
      <c r="W21" s="67" t="s">
        <v>38</v>
      </c>
      <c r="X21" s="5">
        <v>559930.77</v>
      </c>
      <c r="Y21" s="5">
        <v>465796.77</v>
      </c>
      <c r="Z21" s="68">
        <f t="shared" si="11"/>
        <v>-94134</v>
      </c>
      <c r="AA21" s="5">
        <v>465797</v>
      </c>
      <c r="AB21" s="155">
        <f t="shared" si="12"/>
        <v>-94133.77000000002</v>
      </c>
      <c r="AD21" s="67" t="s">
        <v>38</v>
      </c>
      <c r="AE21" s="5">
        <v>559930.77</v>
      </c>
      <c r="AF21" s="5">
        <v>559930.77</v>
      </c>
      <c r="AG21" s="68">
        <f t="shared" si="13"/>
        <v>0</v>
      </c>
      <c r="AH21" s="5">
        <v>465797</v>
      </c>
      <c r="AI21" s="155">
        <f t="shared" si="14"/>
        <v>-94133.77000000002</v>
      </c>
      <c r="AK21" s="67" t="s">
        <v>38</v>
      </c>
      <c r="AL21" s="5">
        <v>559930.77</v>
      </c>
      <c r="AM21" s="5">
        <v>559930.77</v>
      </c>
      <c r="AN21" s="68">
        <v>0</v>
      </c>
      <c r="AO21" s="5">
        <v>465797</v>
      </c>
      <c r="AP21" s="155">
        <v>-94133.77000000002</v>
      </c>
    </row>
    <row r="22" spans="2:42" ht="15.75">
      <c r="B22" s="67" t="s">
        <v>58</v>
      </c>
      <c r="C22" s="68">
        <v>-18859580.56</v>
      </c>
      <c r="D22" s="68">
        <v>-18859581</v>
      </c>
      <c r="E22" s="68">
        <f t="shared" si="5"/>
        <v>-0.4400000013411045</v>
      </c>
      <c r="F22" s="68">
        <v>-18859581</v>
      </c>
      <c r="G22" s="155">
        <f t="shared" si="6"/>
        <v>-0.4400000013411045</v>
      </c>
      <c r="I22" s="67" t="s">
        <v>58</v>
      </c>
      <c r="J22" s="68">
        <v>-18859580.56</v>
      </c>
      <c r="K22" s="68">
        <v>-18859580.56</v>
      </c>
      <c r="L22" s="68">
        <f t="shared" si="7"/>
        <v>0</v>
      </c>
      <c r="M22" s="68">
        <v>-18859581</v>
      </c>
      <c r="N22" s="155">
        <f t="shared" si="8"/>
        <v>-0.4400000013411045</v>
      </c>
      <c r="P22" s="67" t="s">
        <v>58</v>
      </c>
      <c r="Q22" s="68">
        <v>-18859580.56</v>
      </c>
      <c r="R22" s="68">
        <v>-18859580.56</v>
      </c>
      <c r="S22" s="68">
        <f t="shared" si="9"/>
        <v>0</v>
      </c>
      <c r="T22" s="68">
        <v>-18859581</v>
      </c>
      <c r="U22" s="155">
        <f t="shared" si="10"/>
        <v>-0.4400000013411045</v>
      </c>
      <c r="W22" s="67" t="s">
        <v>58</v>
      </c>
      <c r="X22" s="68">
        <v>-18859580.56</v>
      </c>
      <c r="Y22" s="68">
        <v>-18859580.56</v>
      </c>
      <c r="Z22" s="68">
        <f t="shared" si="11"/>
        <v>0</v>
      </c>
      <c r="AA22" s="68">
        <v>-18859581</v>
      </c>
      <c r="AB22" s="155">
        <f t="shared" si="12"/>
        <v>-0.4400000013411045</v>
      </c>
      <c r="AD22" s="67" t="s">
        <v>58</v>
      </c>
      <c r="AE22" s="68">
        <v>-18859580.56</v>
      </c>
      <c r="AF22" s="68">
        <v>-18859580.56</v>
      </c>
      <c r="AG22" s="68">
        <f t="shared" si="13"/>
        <v>0</v>
      </c>
      <c r="AH22" s="68">
        <v>-18859581</v>
      </c>
      <c r="AI22" s="155">
        <f t="shared" si="14"/>
        <v>-0.4400000013411045</v>
      </c>
      <c r="AK22" s="67" t="s">
        <v>58</v>
      </c>
      <c r="AL22" s="68">
        <v>-28542137.56</v>
      </c>
      <c r="AM22" s="68">
        <v>-18859580.56</v>
      </c>
      <c r="AN22" s="68">
        <v>9682557</v>
      </c>
      <c r="AO22" s="68">
        <v>-18859581</v>
      </c>
      <c r="AP22" s="155">
        <v>9682556.559999999</v>
      </c>
    </row>
    <row r="23" spans="2:42" ht="16.5" thickBot="1">
      <c r="B23" s="69" t="s">
        <v>102</v>
      </c>
      <c r="C23" s="17">
        <f>SUM(C16:C22)</f>
        <v>24236522.34</v>
      </c>
      <c r="D23" s="17">
        <f>SUM(D16:D22)</f>
        <v>23362128</v>
      </c>
      <c r="E23" s="70">
        <f>SUM(E16:E22)</f>
        <v>-874394.3400000001</v>
      </c>
      <c r="F23" s="17">
        <f>SUM(F16:F22)</f>
        <v>23362128</v>
      </c>
      <c r="G23" s="156">
        <f>SUM(G16:G22)</f>
        <v>-874394.3400000001</v>
      </c>
      <c r="I23" s="69" t="s">
        <v>102</v>
      </c>
      <c r="J23" s="17">
        <f>SUM(J16:J22)</f>
        <v>25381958.200000007</v>
      </c>
      <c r="K23" s="17">
        <f>SUM(K16:K22)</f>
        <v>24236522.34</v>
      </c>
      <c r="L23" s="70">
        <f>SUM(L16:L22)</f>
        <v>-1145435.8600000027</v>
      </c>
      <c r="M23" s="17">
        <f>SUM(M16:M22)</f>
        <v>23362128</v>
      </c>
      <c r="N23" s="156">
        <f>SUM(N16:N22)</f>
        <v>-2019830.2000000027</v>
      </c>
      <c r="P23" s="218" t="s">
        <v>102</v>
      </c>
      <c r="Q23" s="219">
        <f>SUM(Q16:Q22)</f>
        <v>26643298.020000007</v>
      </c>
      <c r="R23" s="219">
        <f>SUM(R16:R22)</f>
        <v>25381958.200000007</v>
      </c>
      <c r="S23" s="220">
        <f>SUM(S16:S22)</f>
        <v>-1261339.8199999994</v>
      </c>
      <c r="T23" s="219">
        <f>SUM(T16:T22)</f>
        <v>23362128</v>
      </c>
      <c r="U23" s="221">
        <f>SUM(U16:U22)</f>
        <v>-3281170.020000002</v>
      </c>
      <c r="W23" s="218" t="s">
        <v>102</v>
      </c>
      <c r="X23" s="219">
        <f>SUM(X16:X22)</f>
        <v>43162588.33</v>
      </c>
      <c r="Y23" s="219">
        <f>SUM(Y16:Y22)</f>
        <v>26643298.020000007</v>
      </c>
      <c r="Z23" s="220">
        <f>SUM(Z16:Z22)</f>
        <v>-16519290.309999995</v>
      </c>
      <c r="AA23" s="219">
        <f>SUM(AA16:AA22)</f>
        <v>23362128</v>
      </c>
      <c r="AB23" s="221">
        <f>SUM(AB16:AB22)</f>
        <v>-19800460.33</v>
      </c>
      <c r="AD23" s="218" t="s">
        <v>102</v>
      </c>
      <c r="AE23" s="219">
        <f>SUM(AE16:AE22)</f>
        <v>43295822.55</v>
      </c>
      <c r="AF23" s="219">
        <f>SUM(AF16:AF22)</f>
        <v>43162588.33</v>
      </c>
      <c r="AG23" s="220">
        <f>SUM(AG16:AG22)</f>
        <v>-133234.21999999974</v>
      </c>
      <c r="AH23" s="219">
        <f>SUM(AH16:AH22)</f>
        <v>23362128</v>
      </c>
      <c r="AI23" s="221">
        <f>SUM(AI16:AI22)</f>
        <v>-19933694.549999997</v>
      </c>
      <c r="AK23" s="218" t="s">
        <v>102</v>
      </c>
      <c r="AL23" s="219">
        <v>34143188.980000004</v>
      </c>
      <c r="AM23" s="219">
        <v>43810683.42</v>
      </c>
      <c r="AN23" s="220">
        <v>9667494.440000001</v>
      </c>
      <c r="AO23" s="219">
        <v>23362128</v>
      </c>
      <c r="AP23" s="221">
        <v>-10781060.979999997</v>
      </c>
    </row>
    <row r="24" spans="2:42" ht="16.5" thickTop="1">
      <c r="B24" s="71"/>
      <c r="C24" s="13"/>
      <c r="D24" s="13"/>
      <c r="E24" s="13"/>
      <c r="F24" s="13"/>
      <c r="G24" s="14"/>
      <c r="I24" s="71"/>
      <c r="J24" s="13"/>
      <c r="K24" s="13"/>
      <c r="L24" s="13"/>
      <c r="M24" s="13"/>
      <c r="N24" s="14"/>
      <c r="P24" s="71"/>
      <c r="Q24" s="13"/>
      <c r="R24" s="13"/>
      <c r="S24" s="13"/>
      <c r="T24" s="13"/>
      <c r="U24" s="14"/>
      <c r="W24" s="71"/>
      <c r="X24" s="13"/>
      <c r="Y24" s="13"/>
      <c r="Z24" s="13"/>
      <c r="AA24" s="13"/>
      <c r="AB24" s="14"/>
      <c r="AD24" s="71"/>
      <c r="AE24" s="13"/>
      <c r="AF24" s="13"/>
      <c r="AG24" s="13"/>
      <c r="AH24" s="13"/>
      <c r="AI24" s="14"/>
      <c r="AK24" s="71"/>
      <c r="AL24" s="13"/>
      <c r="AM24" s="13"/>
      <c r="AN24" s="13"/>
      <c r="AO24" s="13"/>
      <c r="AP24" s="14"/>
    </row>
    <row r="25" spans="2:42" ht="15.75">
      <c r="B25" s="67"/>
      <c r="C25" s="5"/>
      <c r="D25" s="5"/>
      <c r="E25" s="5"/>
      <c r="F25" s="5"/>
      <c r="G25" s="8"/>
      <c r="I25" s="67"/>
      <c r="J25" s="5"/>
      <c r="K25" s="5"/>
      <c r="L25" s="5"/>
      <c r="M25" s="5"/>
      <c r="N25" s="8"/>
      <c r="P25" s="67"/>
      <c r="Q25" s="5"/>
      <c r="R25" s="5"/>
      <c r="S25" s="5"/>
      <c r="T25" s="5"/>
      <c r="U25" s="8"/>
      <c r="W25" s="67"/>
      <c r="X25" s="5"/>
      <c r="Y25" s="5"/>
      <c r="Z25" s="5"/>
      <c r="AA25" s="5"/>
      <c r="AB25" s="8"/>
      <c r="AD25" s="67"/>
      <c r="AE25" s="5"/>
      <c r="AF25" s="5"/>
      <c r="AG25" s="5"/>
      <c r="AH25" s="5"/>
      <c r="AI25" s="8"/>
      <c r="AK25" s="67"/>
      <c r="AL25" s="5"/>
      <c r="AM25" s="5"/>
      <c r="AN25" s="5"/>
      <c r="AO25" s="5"/>
      <c r="AP25" s="8"/>
    </row>
    <row r="26" spans="2:42" ht="15.75">
      <c r="B26" s="67" t="s">
        <v>39</v>
      </c>
      <c r="C26" s="5">
        <v>743608.15</v>
      </c>
      <c r="D26" s="5">
        <v>743608.15</v>
      </c>
      <c r="E26" s="68">
        <f aca="true" t="shared" si="15" ref="E26:E31">+D26-C26</f>
        <v>0</v>
      </c>
      <c r="F26" s="5">
        <v>743608.15</v>
      </c>
      <c r="G26" s="155">
        <f aca="true" t="shared" si="16" ref="G26:G31">+F26-C26</f>
        <v>0</v>
      </c>
      <c r="I26" s="67" t="s">
        <v>39</v>
      </c>
      <c r="J26" s="5">
        <v>743608.15</v>
      </c>
      <c r="K26" s="5">
        <v>743608.15</v>
      </c>
      <c r="L26" s="68">
        <f aca="true" t="shared" si="17" ref="L26:L31">+K26-J26</f>
        <v>0</v>
      </c>
      <c r="M26" s="5">
        <v>743608.15</v>
      </c>
      <c r="N26" s="155">
        <f aca="true" t="shared" si="18" ref="N26:N31">+M26-J26</f>
        <v>0</v>
      </c>
      <c r="P26" s="67" t="s">
        <v>39</v>
      </c>
      <c r="Q26" s="5">
        <v>743608.15</v>
      </c>
      <c r="R26" s="5">
        <v>743608.15</v>
      </c>
      <c r="S26" s="68">
        <f aca="true" t="shared" si="19" ref="S26:S31">+R26-Q26</f>
        <v>0</v>
      </c>
      <c r="T26" s="5">
        <v>743608.15</v>
      </c>
      <c r="U26" s="155">
        <f aca="true" t="shared" si="20" ref="U26:U31">+T26-Q26</f>
        <v>0</v>
      </c>
      <c r="W26" s="67" t="s">
        <v>39</v>
      </c>
      <c r="X26" s="5">
        <v>743608.15</v>
      </c>
      <c r="Y26" s="5">
        <v>743608.15</v>
      </c>
      <c r="Z26" s="68">
        <f aca="true" t="shared" si="21" ref="Z26:Z31">+Y26-X26</f>
        <v>0</v>
      </c>
      <c r="AA26" s="5">
        <v>743608.15</v>
      </c>
      <c r="AB26" s="155">
        <f aca="true" t="shared" si="22" ref="AB26:AB31">+AA26-X26</f>
        <v>0</v>
      </c>
      <c r="AD26" s="67" t="s">
        <v>39</v>
      </c>
      <c r="AE26" s="5">
        <v>743608.15</v>
      </c>
      <c r="AF26" s="5">
        <v>743608.15</v>
      </c>
      <c r="AG26" s="68">
        <f aca="true" t="shared" si="23" ref="AG26:AG31">+AF26-AE26</f>
        <v>0</v>
      </c>
      <c r="AH26" s="5">
        <v>743608.15</v>
      </c>
      <c r="AI26" s="155">
        <f aca="true" t="shared" si="24" ref="AI26:AI31">+AH26-AE26</f>
        <v>0</v>
      </c>
      <c r="AK26" s="67" t="s">
        <v>39</v>
      </c>
      <c r="AL26" s="5">
        <v>743608.15</v>
      </c>
      <c r="AM26" s="5">
        <v>743608.15</v>
      </c>
      <c r="AN26" s="68">
        <v>0</v>
      </c>
      <c r="AO26" s="5">
        <v>743608.15</v>
      </c>
      <c r="AP26" s="155">
        <v>0</v>
      </c>
    </row>
    <row r="27" spans="2:42" ht="15.75">
      <c r="B27" s="67" t="s">
        <v>59</v>
      </c>
      <c r="C27" s="68">
        <v>-743608.15</v>
      </c>
      <c r="D27" s="68">
        <v>-743608.15</v>
      </c>
      <c r="E27" s="68">
        <f t="shared" si="15"/>
        <v>0</v>
      </c>
      <c r="F27" s="68">
        <v>-743608.15</v>
      </c>
      <c r="G27" s="155">
        <f t="shared" si="16"/>
        <v>0</v>
      </c>
      <c r="I27" s="67" t="s">
        <v>59</v>
      </c>
      <c r="J27" s="68">
        <v>-743608.15</v>
      </c>
      <c r="K27" s="68">
        <v>-743608.15</v>
      </c>
      <c r="L27" s="68">
        <f t="shared" si="17"/>
        <v>0</v>
      </c>
      <c r="M27" s="68">
        <v>-743608.15</v>
      </c>
      <c r="N27" s="155">
        <f t="shared" si="18"/>
        <v>0</v>
      </c>
      <c r="P27" s="67" t="s">
        <v>59</v>
      </c>
      <c r="Q27" s="68">
        <v>-743608.15</v>
      </c>
      <c r="R27" s="68">
        <v>-743608.15</v>
      </c>
      <c r="S27" s="68">
        <f t="shared" si="19"/>
        <v>0</v>
      </c>
      <c r="T27" s="68">
        <v>-743608.15</v>
      </c>
      <c r="U27" s="155">
        <f t="shared" si="20"/>
        <v>0</v>
      </c>
      <c r="W27" s="67" t="s">
        <v>59</v>
      </c>
      <c r="X27" s="68">
        <v>-743608.15</v>
      </c>
      <c r="Y27" s="68">
        <v>-743608.15</v>
      </c>
      <c r="Z27" s="68">
        <f t="shared" si="21"/>
        <v>0</v>
      </c>
      <c r="AA27" s="68">
        <v>-743608.15</v>
      </c>
      <c r="AB27" s="155">
        <f t="shared" si="22"/>
        <v>0</v>
      </c>
      <c r="AD27" s="67" t="s">
        <v>59</v>
      </c>
      <c r="AE27" s="68">
        <v>-743608.15</v>
      </c>
      <c r="AF27" s="68">
        <v>-743608.15</v>
      </c>
      <c r="AG27" s="68">
        <f t="shared" si="23"/>
        <v>0</v>
      </c>
      <c r="AH27" s="68">
        <v>-743608.15</v>
      </c>
      <c r="AI27" s="155">
        <f t="shared" si="24"/>
        <v>0</v>
      </c>
      <c r="AK27" s="67" t="s">
        <v>59</v>
      </c>
      <c r="AL27" s="68">
        <v>-743608.15</v>
      </c>
      <c r="AM27" s="68">
        <v>-743608.15</v>
      </c>
      <c r="AN27" s="68">
        <v>0</v>
      </c>
      <c r="AO27" s="68">
        <v>-743608.15</v>
      </c>
      <c r="AP27" s="155">
        <v>0</v>
      </c>
    </row>
    <row r="28" spans="2:42" ht="15.75">
      <c r="B28" s="67" t="s">
        <v>60</v>
      </c>
      <c r="C28" s="5">
        <v>45533.24</v>
      </c>
      <c r="D28" s="5">
        <v>45533.24</v>
      </c>
      <c r="E28" s="68">
        <f t="shared" si="15"/>
        <v>0</v>
      </c>
      <c r="F28" s="5">
        <v>45533.24</v>
      </c>
      <c r="G28" s="155">
        <f t="shared" si="16"/>
        <v>0</v>
      </c>
      <c r="I28" s="67" t="s">
        <v>60</v>
      </c>
      <c r="J28" s="5">
        <v>45533.24</v>
      </c>
      <c r="K28" s="5">
        <v>45533.24</v>
      </c>
      <c r="L28" s="68">
        <f t="shared" si="17"/>
        <v>0</v>
      </c>
      <c r="M28" s="5">
        <v>45533.24</v>
      </c>
      <c r="N28" s="155">
        <f t="shared" si="18"/>
        <v>0</v>
      </c>
      <c r="P28" s="67" t="s">
        <v>60</v>
      </c>
      <c r="Q28" s="5">
        <v>45533.24</v>
      </c>
      <c r="R28" s="5">
        <v>45533.24</v>
      </c>
      <c r="S28" s="68">
        <f t="shared" si="19"/>
        <v>0</v>
      </c>
      <c r="T28" s="5">
        <v>45533.24</v>
      </c>
      <c r="U28" s="155">
        <f t="shared" si="20"/>
        <v>0</v>
      </c>
      <c r="W28" s="67" t="s">
        <v>60</v>
      </c>
      <c r="X28" s="5">
        <v>45533.24</v>
      </c>
      <c r="Y28" s="5">
        <v>45533.24</v>
      </c>
      <c r="Z28" s="68">
        <f t="shared" si="21"/>
        <v>0</v>
      </c>
      <c r="AA28" s="5">
        <v>45533.24</v>
      </c>
      <c r="AB28" s="155">
        <f t="shared" si="22"/>
        <v>0</v>
      </c>
      <c r="AD28" s="67" t="s">
        <v>60</v>
      </c>
      <c r="AE28" s="5">
        <v>45533.24</v>
      </c>
      <c r="AF28" s="5">
        <v>45533.24</v>
      </c>
      <c r="AG28" s="68">
        <f t="shared" si="23"/>
        <v>0</v>
      </c>
      <c r="AH28" s="5">
        <v>45533.24</v>
      </c>
      <c r="AI28" s="155">
        <f t="shared" si="24"/>
        <v>0</v>
      </c>
      <c r="AK28" s="67" t="s">
        <v>60</v>
      </c>
      <c r="AL28" s="5">
        <v>45533.24</v>
      </c>
      <c r="AM28" s="5">
        <v>45533.24</v>
      </c>
      <c r="AN28" s="68">
        <v>0</v>
      </c>
      <c r="AO28" s="5">
        <v>45533.24</v>
      </c>
      <c r="AP28" s="155">
        <v>0</v>
      </c>
    </row>
    <row r="29" spans="2:42" ht="15.75">
      <c r="B29" s="67" t="s">
        <v>61</v>
      </c>
      <c r="C29" s="68">
        <v>-28833.21</v>
      </c>
      <c r="D29" s="68">
        <v>-28833</v>
      </c>
      <c r="E29" s="68">
        <f t="shared" si="15"/>
        <v>0.20999999999912689</v>
      </c>
      <c r="F29" s="68">
        <v>-28833</v>
      </c>
      <c r="G29" s="155">
        <f t="shared" si="16"/>
        <v>0.20999999999912689</v>
      </c>
      <c r="I29" s="67" t="s">
        <v>61</v>
      </c>
      <c r="J29" s="68">
        <v>-28833.21</v>
      </c>
      <c r="K29" s="68">
        <v>-28833.21</v>
      </c>
      <c r="L29" s="68">
        <f t="shared" si="17"/>
        <v>0</v>
      </c>
      <c r="M29" s="68">
        <v>-28833</v>
      </c>
      <c r="N29" s="155">
        <f t="shared" si="18"/>
        <v>0.20999999999912689</v>
      </c>
      <c r="P29" s="67" t="s">
        <v>61</v>
      </c>
      <c r="Q29" s="68">
        <v>-28833.21</v>
      </c>
      <c r="R29" s="68">
        <v>-28833.21</v>
      </c>
      <c r="S29" s="68">
        <f t="shared" si="19"/>
        <v>0</v>
      </c>
      <c r="T29" s="68">
        <v>-28833</v>
      </c>
      <c r="U29" s="155">
        <f t="shared" si="20"/>
        <v>0.20999999999912689</v>
      </c>
      <c r="W29" s="67" t="s">
        <v>61</v>
      </c>
      <c r="X29" s="68">
        <v>-28833.21</v>
      </c>
      <c r="Y29" s="68">
        <v>-28833.21</v>
      </c>
      <c r="Z29" s="68">
        <f t="shared" si="21"/>
        <v>0</v>
      </c>
      <c r="AA29" s="68">
        <v>-28833</v>
      </c>
      <c r="AB29" s="155">
        <f t="shared" si="22"/>
        <v>0.20999999999912689</v>
      </c>
      <c r="AD29" s="67" t="s">
        <v>61</v>
      </c>
      <c r="AE29" s="68">
        <v>-28833.21</v>
      </c>
      <c r="AF29" s="68">
        <v>-28833.21</v>
      </c>
      <c r="AG29" s="68">
        <f t="shared" si="23"/>
        <v>0</v>
      </c>
      <c r="AH29" s="68">
        <v>-28833</v>
      </c>
      <c r="AI29" s="155">
        <f t="shared" si="24"/>
        <v>0.20999999999912689</v>
      </c>
      <c r="AK29" s="67" t="s">
        <v>61</v>
      </c>
      <c r="AL29" s="68">
        <v>-30730.21</v>
      </c>
      <c r="AM29" s="68">
        <v>-28833.21</v>
      </c>
      <c r="AN29" s="68">
        <v>1897</v>
      </c>
      <c r="AO29" s="68">
        <v>-28833</v>
      </c>
      <c r="AP29" s="155">
        <v>1897.2099999999991</v>
      </c>
    </row>
    <row r="30" spans="2:42" ht="15.75">
      <c r="B30" s="67" t="s">
        <v>148</v>
      </c>
      <c r="C30" s="5">
        <v>622187.78</v>
      </c>
      <c r="D30" s="5">
        <v>622188</v>
      </c>
      <c r="E30" s="68">
        <f t="shared" si="15"/>
        <v>0.21999999997206032</v>
      </c>
      <c r="F30" s="5">
        <v>622188</v>
      </c>
      <c r="G30" s="155">
        <f t="shared" si="16"/>
        <v>0.21999999997206032</v>
      </c>
      <c r="I30" s="67" t="s">
        <v>148</v>
      </c>
      <c r="J30" s="5">
        <v>622187.78</v>
      </c>
      <c r="K30" s="5">
        <v>622187.78</v>
      </c>
      <c r="L30" s="68">
        <f t="shared" si="17"/>
        <v>0</v>
      </c>
      <c r="M30" s="5">
        <v>622188</v>
      </c>
      <c r="N30" s="155">
        <f t="shared" si="18"/>
        <v>0.21999999997206032</v>
      </c>
      <c r="P30" s="67" t="s">
        <v>148</v>
      </c>
      <c r="Q30" s="5">
        <v>579387.78</v>
      </c>
      <c r="R30" s="5">
        <v>622187.78</v>
      </c>
      <c r="S30" s="68">
        <f t="shared" si="19"/>
        <v>42800</v>
      </c>
      <c r="T30" s="5">
        <v>622188</v>
      </c>
      <c r="U30" s="155">
        <f t="shared" si="20"/>
        <v>42800.21999999997</v>
      </c>
      <c r="W30" s="67" t="s">
        <v>148</v>
      </c>
      <c r="X30" s="5">
        <v>579387.78</v>
      </c>
      <c r="Y30" s="5">
        <v>579387.78</v>
      </c>
      <c r="Z30" s="68">
        <f t="shared" si="21"/>
        <v>0</v>
      </c>
      <c r="AA30" s="5">
        <v>622188</v>
      </c>
      <c r="AB30" s="155">
        <f t="shared" si="22"/>
        <v>42800.21999999997</v>
      </c>
      <c r="AD30" s="67" t="s">
        <v>148</v>
      </c>
      <c r="AE30" s="5">
        <v>784057.29</v>
      </c>
      <c r="AF30" s="5">
        <v>579387.78</v>
      </c>
      <c r="AG30" s="68">
        <f t="shared" si="23"/>
        <v>-204669.51</v>
      </c>
      <c r="AH30" s="5">
        <v>622188</v>
      </c>
      <c r="AI30" s="155">
        <f t="shared" si="24"/>
        <v>-161869.29000000004</v>
      </c>
      <c r="AK30" s="67" t="s">
        <v>148</v>
      </c>
      <c r="AL30" s="5">
        <v>179364.67</v>
      </c>
      <c r="AM30" s="5">
        <v>360925.45</v>
      </c>
      <c r="AN30" s="68">
        <v>181560.78</v>
      </c>
      <c r="AO30" s="5">
        <v>622188</v>
      </c>
      <c r="AP30" s="155">
        <v>442823.32999999996</v>
      </c>
    </row>
    <row r="31" spans="2:42" ht="18" customHeight="1">
      <c r="B31" s="67" t="s">
        <v>63</v>
      </c>
      <c r="C31" s="5">
        <v>0</v>
      </c>
      <c r="D31" s="5">
        <v>0</v>
      </c>
      <c r="E31" s="5">
        <f t="shared" si="15"/>
        <v>0</v>
      </c>
      <c r="F31" s="5">
        <v>0</v>
      </c>
      <c r="G31" s="155">
        <f t="shared" si="16"/>
        <v>0</v>
      </c>
      <c r="I31" s="67" t="s">
        <v>63</v>
      </c>
      <c r="J31" s="5">
        <v>0</v>
      </c>
      <c r="K31" s="5">
        <v>0</v>
      </c>
      <c r="L31" s="5">
        <f t="shared" si="17"/>
        <v>0</v>
      </c>
      <c r="M31" s="5">
        <v>0</v>
      </c>
      <c r="N31" s="155">
        <f t="shared" si="18"/>
        <v>0</v>
      </c>
      <c r="P31" s="67" t="s">
        <v>63</v>
      </c>
      <c r="Q31" s="5">
        <v>0</v>
      </c>
      <c r="R31" s="5">
        <v>0</v>
      </c>
      <c r="S31" s="5">
        <f t="shared" si="19"/>
        <v>0</v>
      </c>
      <c r="T31" s="5">
        <v>0</v>
      </c>
      <c r="U31" s="155">
        <f t="shared" si="20"/>
        <v>0</v>
      </c>
      <c r="W31" s="67" t="s">
        <v>63</v>
      </c>
      <c r="X31" s="5">
        <v>0</v>
      </c>
      <c r="Y31" s="5">
        <v>0</v>
      </c>
      <c r="Z31" s="5">
        <f t="shared" si="21"/>
        <v>0</v>
      </c>
      <c r="AA31" s="5">
        <v>0</v>
      </c>
      <c r="AB31" s="155">
        <f t="shared" si="22"/>
        <v>0</v>
      </c>
      <c r="AD31" s="67" t="s">
        <v>63</v>
      </c>
      <c r="AE31" s="5">
        <v>0</v>
      </c>
      <c r="AF31" s="5">
        <v>0</v>
      </c>
      <c r="AG31" s="5">
        <f t="shared" si="23"/>
        <v>0</v>
      </c>
      <c r="AH31" s="5">
        <v>0</v>
      </c>
      <c r="AI31" s="155">
        <f t="shared" si="24"/>
        <v>0</v>
      </c>
      <c r="AK31" s="67" t="s">
        <v>63</v>
      </c>
      <c r="AL31" s="68">
        <v>0</v>
      </c>
      <c r="AM31" s="68">
        <v>0</v>
      </c>
      <c r="AN31" s="68">
        <v>0</v>
      </c>
      <c r="AO31" s="68">
        <v>0</v>
      </c>
      <c r="AP31" s="155">
        <v>0</v>
      </c>
    </row>
    <row r="32" spans="2:42" ht="16.5" thickBot="1">
      <c r="B32" s="69" t="s">
        <v>103</v>
      </c>
      <c r="C32" s="17">
        <f>SUM(C26:C31)</f>
        <v>638887.81</v>
      </c>
      <c r="D32" s="17">
        <f>SUM(D26:D31)</f>
        <v>638888.24</v>
      </c>
      <c r="E32" s="70">
        <f>SUM(E26:E31)</f>
        <v>0.4299999999711872</v>
      </c>
      <c r="F32" s="17">
        <f>SUM(F26:F31)</f>
        <v>638888.24</v>
      </c>
      <c r="G32" s="157">
        <f>SUM(G26:G31)</f>
        <v>0.4299999999711872</v>
      </c>
      <c r="I32" s="69" t="s">
        <v>103</v>
      </c>
      <c r="J32" s="17">
        <f>SUM(J26:J31)</f>
        <v>638887.81</v>
      </c>
      <c r="K32" s="17">
        <f>SUM(K26:K31)</f>
        <v>638887.81</v>
      </c>
      <c r="L32" s="70">
        <f>SUM(L26:L31)</f>
        <v>0</v>
      </c>
      <c r="M32" s="17">
        <f>SUM(M26:M31)</f>
        <v>638888.24</v>
      </c>
      <c r="N32" s="157">
        <f>SUM(N26:N31)</f>
        <v>0.4299999999711872</v>
      </c>
      <c r="P32" s="218" t="s">
        <v>103</v>
      </c>
      <c r="Q32" s="219">
        <f>SUM(Q26:Q31)</f>
        <v>596087.81</v>
      </c>
      <c r="R32" s="219">
        <f>SUM(R26:R31)</f>
        <v>638887.81</v>
      </c>
      <c r="S32" s="220">
        <f>SUM(S26:S31)</f>
        <v>42800</v>
      </c>
      <c r="T32" s="219">
        <f>SUM(T26:T31)</f>
        <v>638888.24</v>
      </c>
      <c r="U32" s="221">
        <f>SUM(U26:U31)</f>
        <v>42800.42999999997</v>
      </c>
      <c r="W32" s="218" t="s">
        <v>103</v>
      </c>
      <c r="X32" s="219">
        <f>SUM(X26:X31)</f>
        <v>596087.81</v>
      </c>
      <c r="Y32" s="219">
        <f>SUM(Y26:Y31)</f>
        <v>596087.81</v>
      </c>
      <c r="Z32" s="220">
        <f>SUM(Z26:Z31)</f>
        <v>0</v>
      </c>
      <c r="AA32" s="219">
        <f>SUM(AA26:AA31)</f>
        <v>638888.24</v>
      </c>
      <c r="AB32" s="221">
        <f>SUM(AB26:AB31)</f>
        <v>42800.42999999997</v>
      </c>
      <c r="AD32" s="218" t="s">
        <v>103</v>
      </c>
      <c r="AE32" s="219">
        <f>SUM(AE26:AE31)</f>
        <v>800757.3200000001</v>
      </c>
      <c r="AF32" s="219">
        <f>SUM(AF26:AF31)</f>
        <v>596087.81</v>
      </c>
      <c r="AG32" s="220">
        <f>SUM(AG26:AG31)</f>
        <v>-204669.51</v>
      </c>
      <c r="AH32" s="219">
        <f>SUM(AH26:AH31)</f>
        <v>638888.24</v>
      </c>
      <c r="AI32" s="221">
        <f>SUM(AI26:AI31)</f>
        <v>-161869.08000000005</v>
      </c>
      <c r="AK32" s="218" t="s">
        <v>103</v>
      </c>
      <c r="AL32" s="219">
        <v>194167.7</v>
      </c>
      <c r="AM32" s="219">
        <v>377625.48</v>
      </c>
      <c r="AN32" s="220">
        <v>183457.78</v>
      </c>
      <c r="AO32" s="219">
        <v>638888.24</v>
      </c>
      <c r="AP32" s="221">
        <v>444720.54</v>
      </c>
    </row>
    <row r="33" spans="2:42" ht="16.5" thickTop="1">
      <c r="B33" s="71"/>
      <c r="C33" s="13"/>
      <c r="D33" s="13"/>
      <c r="E33" s="13"/>
      <c r="F33" s="13"/>
      <c r="G33" s="14"/>
      <c r="I33" s="71"/>
      <c r="J33" s="13"/>
      <c r="K33" s="13"/>
      <c r="L33" s="13"/>
      <c r="M33" s="13"/>
      <c r="N33" s="14"/>
      <c r="P33" s="71"/>
      <c r="Q33" s="13"/>
      <c r="R33" s="13"/>
      <c r="S33" s="13"/>
      <c r="T33" s="13"/>
      <c r="U33" s="14"/>
      <c r="W33" s="71"/>
      <c r="X33" s="13"/>
      <c r="Y33" s="13"/>
      <c r="Z33" s="13"/>
      <c r="AA33" s="13"/>
      <c r="AB33" s="14"/>
      <c r="AD33" s="71"/>
      <c r="AE33" s="13"/>
      <c r="AF33" s="13"/>
      <c r="AG33" s="13"/>
      <c r="AH33" s="13"/>
      <c r="AI33" s="14"/>
      <c r="AK33" s="71"/>
      <c r="AL33" s="13"/>
      <c r="AM33" s="13"/>
      <c r="AN33" s="13"/>
      <c r="AO33" s="13"/>
      <c r="AP33" s="14"/>
    </row>
    <row r="34" spans="2:42" ht="15.75">
      <c r="B34" s="73"/>
      <c r="C34" s="16"/>
      <c r="D34" s="16"/>
      <c r="E34" s="16"/>
      <c r="F34" s="16"/>
      <c r="G34" s="158"/>
      <c r="I34" s="73"/>
      <c r="J34" s="16"/>
      <c r="K34" s="16"/>
      <c r="L34" s="16"/>
      <c r="M34" s="16"/>
      <c r="N34" s="158"/>
      <c r="P34" s="73"/>
      <c r="Q34" s="16"/>
      <c r="R34" s="16"/>
      <c r="S34" s="16"/>
      <c r="T34" s="16"/>
      <c r="U34" s="158"/>
      <c r="W34" s="73"/>
      <c r="X34" s="16"/>
      <c r="Y34" s="16"/>
      <c r="Z34" s="16"/>
      <c r="AA34" s="16"/>
      <c r="AB34" s="158"/>
      <c r="AD34" s="73"/>
      <c r="AE34" s="16"/>
      <c r="AF34" s="16"/>
      <c r="AG34" s="16"/>
      <c r="AH34" s="16"/>
      <c r="AI34" s="158"/>
      <c r="AK34" s="73"/>
      <c r="AL34" s="16"/>
      <c r="AM34" s="16"/>
      <c r="AN34" s="16"/>
      <c r="AO34" s="16"/>
      <c r="AP34" s="158"/>
    </row>
    <row r="35" spans="2:42" ht="16.5" thickBot="1">
      <c r="B35" s="74" t="s">
        <v>104</v>
      </c>
      <c r="C35" s="10">
        <f>+C32+C23+C13</f>
        <v>115777749.19</v>
      </c>
      <c r="D35" s="10">
        <f>+D32+D23+D13-1</f>
        <v>107268020.24</v>
      </c>
      <c r="E35" s="75">
        <f>+E32+E23+E13</f>
        <v>-8509727.950000005</v>
      </c>
      <c r="F35" s="10">
        <f>+F32+F23+F13</f>
        <v>107268021.24</v>
      </c>
      <c r="G35" s="11">
        <f>+G32+G23+G13</f>
        <v>-8509727.950000005</v>
      </c>
      <c r="I35" s="74" t="s">
        <v>104</v>
      </c>
      <c r="J35" s="10">
        <f>+J32+J23+J13</f>
        <v>135705580.16</v>
      </c>
      <c r="K35" s="10">
        <f>+K32+K23+K13</f>
        <v>115777749.19</v>
      </c>
      <c r="L35" s="75">
        <f>+L32+L23+L13</f>
        <v>-19927830.970000003</v>
      </c>
      <c r="M35" s="10">
        <f>+M32+M23+M13</f>
        <v>107268021.24</v>
      </c>
      <c r="N35" s="11">
        <f>+N32+N23+N13</f>
        <v>-28437558.92</v>
      </c>
      <c r="P35" s="212" t="s">
        <v>104</v>
      </c>
      <c r="Q35" s="194">
        <f>+Q32+Q23+Q13</f>
        <v>181661363.68000004</v>
      </c>
      <c r="R35" s="194">
        <f>+R32+R23+R13</f>
        <v>135705580.16</v>
      </c>
      <c r="S35" s="213">
        <f>+S32+S23+S13</f>
        <v>-45955783.52</v>
      </c>
      <c r="T35" s="194">
        <f>+T32+T23+T13</f>
        <v>107268021.24</v>
      </c>
      <c r="U35" s="195">
        <f>+U32+U23+U13</f>
        <v>-74393342.44000001</v>
      </c>
      <c r="W35" s="212" t="s">
        <v>104</v>
      </c>
      <c r="X35" s="194">
        <f>+X32+X23+X13</f>
        <v>144416789.57999998</v>
      </c>
      <c r="Y35" s="194">
        <f>+Y32+Y23+Y13</f>
        <v>181661363.68000004</v>
      </c>
      <c r="Z35" s="213">
        <f>+Z32+Z23+Z13</f>
        <v>37244574.10000002</v>
      </c>
      <c r="AA35" s="194">
        <f>+AA32+AA23+AA13</f>
        <v>107268021.24</v>
      </c>
      <c r="AB35" s="195">
        <f>+AB32+AB23+AB13</f>
        <v>-37148768.33999999</v>
      </c>
      <c r="AD35" s="212" t="s">
        <v>104</v>
      </c>
      <c r="AE35" s="194">
        <f>+AE32+AE23+AE13-3</f>
        <v>177371226.79</v>
      </c>
      <c r="AF35" s="194">
        <f>+AF32+AF23+AF13</f>
        <v>144416789.57999998</v>
      </c>
      <c r="AG35" s="213">
        <f>+AG32+AG23+AG13+3</f>
        <v>-32954437.210000005</v>
      </c>
      <c r="AH35" s="194">
        <f>+AH32+AH23+AH13</f>
        <v>107268021.24</v>
      </c>
      <c r="AI35" s="195">
        <f>+AI32+AI23+AI13+3</f>
        <v>-70103205.54999998</v>
      </c>
      <c r="AK35" s="212" t="s">
        <v>104</v>
      </c>
      <c r="AL35" s="194">
        <v>75665124.89000002</v>
      </c>
      <c r="AM35" s="194">
        <v>70403864.17</v>
      </c>
      <c r="AN35" s="213">
        <v>-5261260.720000001</v>
      </c>
      <c r="AO35" s="194">
        <v>107268021.24</v>
      </c>
      <c r="AP35" s="195">
        <v>31602896.349999994</v>
      </c>
    </row>
    <row r="36" spans="2:42" ht="16.5" thickTop="1">
      <c r="B36" s="76"/>
      <c r="C36" s="20"/>
      <c r="D36" s="20"/>
      <c r="E36" s="20"/>
      <c r="F36" s="20"/>
      <c r="G36" s="159"/>
      <c r="I36" s="76"/>
      <c r="J36" s="20"/>
      <c r="K36" s="20"/>
      <c r="L36" s="20"/>
      <c r="M36" s="20"/>
      <c r="N36" s="159"/>
      <c r="P36" s="76"/>
      <c r="Q36" s="20"/>
      <c r="R36" s="20"/>
      <c r="S36" s="20"/>
      <c r="T36" s="20"/>
      <c r="U36" s="159"/>
      <c r="W36" s="76"/>
      <c r="X36" s="20"/>
      <c r="Y36" s="20"/>
      <c r="Z36" s="20"/>
      <c r="AA36" s="20"/>
      <c r="AB36" s="159"/>
      <c r="AD36" s="76"/>
      <c r="AE36" s="20"/>
      <c r="AF36" s="20"/>
      <c r="AG36" s="20"/>
      <c r="AH36" s="20"/>
      <c r="AI36" s="159"/>
      <c r="AK36" s="76"/>
      <c r="AL36" s="20"/>
      <c r="AM36" s="20"/>
      <c r="AN36" s="20"/>
      <c r="AO36" s="20"/>
      <c r="AP36" s="159"/>
    </row>
    <row r="37" spans="2:42" ht="15.75">
      <c r="B37" s="76"/>
      <c r="C37" s="20"/>
      <c r="D37" s="20"/>
      <c r="E37" s="20"/>
      <c r="F37" s="20"/>
      <c r="G37" s="159"/>
      <c r="I37" s="76"/>
      <c r="J37" s="20"/>
      <c r="K37" s="20"/>
      <c r="L37" s="20"/>
      <c r="M37" s="20"/>
      <c r="N37" s="159"/>
      <c r="P37" s="76"/>
      <c r="Q37" s="20"/>
      <c r="R37" s="20"/>
      <c r="S37" s="20"/>
      <c r="T37" s="20"/>
      <c r="U37" s="159"/>
      <c r="W37" s="76"/>
      <c r="X37" s="20"/>
      <c r="Y37" s="20"/>
      <c r="Z37" s="20"/>
      <c r="AA37" s="20"/>
      <c r="AB37" s="159"/>
      <c r="AD37" s="76"/>
      <c r="AE37" s="20"/>
      <c r="AF37" s="20"/>
      <c r="AG37" s="20"/>
      <c r="AH37" s="20"/>
      <c r="AI37" s="159"/>
      <c r="AK37" s="76"/>
      <c r="AL37" s="20"/>
      <c r="AM37" s="20"/>
      <c r="AN37" s="20"/>
      <c r="AO37" s="20"/>
      <c r="AP37" s="159"/>
    </row>
    <row r="38" spans="2:42" ht="15.75">
      <c r="B38" s="73"/>
      <c r="C38" s="16"/>
      <c r="D38" s="16"/>
      <c r="E38" s="16"/>
      <c r="F38" s="16"/>
      <c r="G38" s="158"/>
      <c r="I38" s="73"/>
      <c r="J38" s="16"/>
      <c r="K38" s="16"/>
      <c r="L38" s="16"/>
      <c r="M38" s="16"/>
      <c r="N38" s="158"/>
      <c r="P38" s="73"/>
      <c r="Q38" s="16"/>
      <c r="R38" s="16"/>
      <c r="S38" s="16"/>
      <c r="T38" s="16"/>
      <c r="U38" s="158"/>
      <c r="W38" s="73"/>
      <c r="X38" s="16"/>
      <c r="Y38" s="16"/>
      <c r="Z38" s="16"/>
      <c r="AA38" s="16"/>
      <c r="AB38" s="158"/>
      <c r="AD38" s="73"/>
      <c r="AE38" s="16"/>
      <c r="AF38" s="16"/>
      <c r="AG38" s="16"/>
      <c r="AH38" s="16"/>
      <c r="AI38" s="158"/>
      <c r="AK38" s="73"/>
      <c r="AL38" s="16"/>
      <c r="AM38" s="16"/>
      <c r="AN38" s="16"/>
      <c r="AO38" s="16"/>
      <c r="AP38" s="158"/>
    </row>
    <row r="39" spans="2:42" ht="15.75">
      <c r="B39" s="73" t="s">
        <v>40</v>
      </c>
      <c r="C39" s="68">
        <v>21989.01</v>
      </c>
      <c r="D39" s="68">
        <v>250309</v>
      </c>
      <c r="E39" s="68">
        <f>+C39-D39</f>
        <v>-228319.99</v>
      </c>
      <c r="F39" s="68">
        <v>250309</v>
      </c>
      <c r="G39" s="155">
        <f>+C39-F39</f>
        <v>-228319.99</v>
      </c>
      <c r="I39" s="73" t="s">
        <v>40</v>
      </c>
      <c r="J39" s="68">
        <v>23270.27</v>
      </c>
      <c r="K39" s="68">
        <v>21989.01</v>
      </c>
      <c r="L39" s="68">
        <f>+J39-K39</f>
        <v>1281.260000000002</v>
      </c>
      <c r="M39" s="68">
        <v>250309</v>
      </c>
      <c r="N39" s="155">
        <f>+J39-M39</f>
        <v>-227038.73</v>
      </c>
      <c r="P39" s="73" t="s">
        <v>40</v>
      </c>
      <c r="Q39" s="68">
        <v>19905</v>
      </c>
      <c r="R39" s="68">
        <v>23270.27</v>
      </c>
      <c r="S39" s="68">
        <f>+Q39-R39</f>
        <v>-3365.2700000000004</v>
      </c>
      <c r="T39" s="68">
        <v>250309</v>
      </c>
      <c r="U39" s="155">
        <f>+Q39-T39</f>
        <v>-230404</v>
      </c>
      <c r="W39" s="73" t="s">
        <v>40</v>
      </c>
      <c r="X39" s="68">
        <v>19905</v>
      </c>
      <c r="Y39" s="68">
        <v>19905</v>
      </c>
      <c r="Z39" s="68">
        <f>+X39-Y39</f>
        <v>0</v>
      </c>
      <c r="AA39" s="68">
        <v>250309</v>
      </c>
      <c r="AB39" s="155">
        <f>+X39-AA39</f>
        <v>-230404</v>
      </c>
      <c r="AD39" s="73" t="s">
        <v>40</v>
      </c>
      <c r="AE39" s="68">
        <v>19905</v>
      </c>
      <c r="AF39" s="68">
        <v>19905</v>
      </c>
      <c r="AG39" s="68">
        <f>+AE39-AF39</f>
        <v>0</v>
      </c>
      <c r="AH39" s="68">
        <v>250309</v>
      </c>
      <c r="AI39" s="155">
        <f>+AE39-AH39</f>
        <v>-230404</v>
      </c>
      <c r="AK39" s="73" t="s">
        <v>40</v>
      </c>
      <c r="AL39" s="68">
        <v>19905</v>
      </c>
      <c r="AM39" s="68">
        <v>19905</v>
      </c>
      <c r="AN39" s="68">
        <v>0</v>
      </c>
      <c r="AO39" s="68">
        <v>250309</v>
      </c>
      <c r="AP39" s="155">
        <v>-230404</v>
      </c>
    </row>
    <row r="40" spans="2:42" ht="15.75">
      <c r="B40" s="73" t="s">
        <v>41</v>
      </c>
      <c r="C40" s="68">
        <v>2862422.48</v>
      </c>
      <c r="D40" s="68">
        <v>5763855</v>
      </c>
      <c r="E40" s="68">
        <f>+C40-D40</f>
        <v>-2901432.52</v>
      </c>
      <c r="F40" s="68">
        <v>5763855</v>
      </c>
      <c r="G40" s="155">
        <f>+C40-F40</f>
        <v>-2901432.52</v>
      </c>
      <c r="I40" s="73" t="s">
        <v>41</v>
      </c>
      <c r="J40" s="68">
        <v>3624576.52</v>
      </c>
      <c r="K40" s="68">
        <v>2862422.48</v>
      </c>
      <c r="L40" s="68">
        <f>+J40-K40</f>
        <v>762154.04</v>
      </c>
      <c r="M40" s="68">
        <v>5763855</v>
      </c>
      <c r="N40" s="155">
        <f>+J40-M40</f>
        <v>-2139278.48</v>
      </c>
      <c r="P40" s="73" t="s">
        <v>41</v>
      </c>
      <c r="Q40" s="68">
        <v>4265793.2</v>
      </c>
      <c r="R40" s="68">
        <v>3624576.52</v>
      </c>
      <c r="S40" s="68">
        <f>+Q40-R40</f>
        <v>641216.6800000002</v>
      </c>
      <c r="T40" s="68">
        <v>5763855</v>
      </c>
      <c r="U40" s="155">
        <f>+Q40-T40</f>
        <v>-1498061.7999999998</v>
      </c>
      <c r="W40" s="73" t="s">
        <v>41</v>
      </c>
      <c r="X40" s="68">
        <v>4152815.36</v>
      </c>
      <c r="Y40" s="68">
        <v>4265793.2</v>
      </c>
      <c r="Z40" s="68">
        <f>+X40-Y40</f>
        <v>-112977.84000000032</v>
      </c>
      <c r="AA40" s="68">
        <v>5763855</v>
      </c>
      <c r="AB40" s="155">
        <f>+X40-AA40</f>
        <v>-1611039.6400000001</v>
      </c>
      <c r="AD40" s="73" t="s">
        <v>41</v>
      </c>
      <c r="AE40" s="68">
        <v>4313717.18</v>
      </c>
      <c r="AF40" s="68">
        <v>4152815.36</v>
      </c>
      <c r="AG40" s="68">
        <f>+AE40-AF40</f>
        <v>160901.81999999983</v>
      </c>
      <c r="AH40" s="68">
        <v>5763855</v>
      </c>
      <c r="AI40" s="155">
        <f>+AE40-AH40</f>
        <v>-1450137.8200000003</v>
      </c>
      <c r="AK40" s="73" t="s">
        <v>41</v>
      </c>
      <c r="AL40" s="68">
        <v>2441605.55</v>
      </c>
      <c r="AM40" s="68">
        <v>3161812.72</v>
      </c>
      <c r="AN40" s="68">
        <v>-720207.1700000004</v>
      </c>
      <c r="AO40" s="68">
        <v>5763855</v>
      </c>
      <c r="AP40" s="155">
        <v>-3322249.45</v>
      </c>
    </row>
    <row r="41" spans="2:42" ht="15.75">
      <c r="B41" s="73" t="s">
        <v>182</v>
      </c>
      <c r="C41" s="68">
        <v>43</v>
      </c>
      <c r="D41" s="68">
        <v>1050130</v>
      </c>
      <c r="E41" s="68">
        <f>+C41-D41</f>
        <v>-1050087</v>
      </c>
      <c r="F41" s="68">
        <v>1050130</v>
      </c>
      <c r="G41" s="155">
        <f>+C41-F41</f>
        <v>-1050087</v>
      </c>
      <c r="I41" s="73" t="s">
        <v>182</v>
      </c>
      <c r="J41" s="68">
        <v>0</v>
      </c>
      <c r="K41" s="68">
        <v>43</v>
      </c>
      <c r="L41" s="68">
        <f>+J41-K41</f>
        <v>-43</v>
      </c>
      <c r="M41" s="68">
        <v>1050130</v>
      </c>
      <c r="N41" s="155">
        <f>+J41-M41</f>
        <v>-1050130</v>
      </c>
      <c r="P41" s="73" t="s">
        <v>182</v>
      </c>
      <c r="Q41" s="68">
        <v>0</v>
      </c>
      <c r="R41" s="68">
        <v>0</v>
      </c>
      <c r="S41" s="68">
        <f>+Q41-R41</f>
        <v>0</v>
      </c>
      <c r="T41" s="68">
        <v>1050130</v>
      </c>
      <c r="U41" s="155">
        <f>+Q41-T41</f>
        <v>-1050130</v>
      </c>
      <c r="W41" s="73" t="s">
        <v>182</v>
      </c>
      <c r="X41" s="68">
        <v>0</v>
      </c>
      <c r="Y41" s="68">
        <v>0</v>
      </c>
      <c r="Z41" s="68">
        <f>+X41-Y41</f>
        <v>0</v>
      </c>
      <c r="AA41" s="68">
        <v>1050130</v>
      </c>
      <c r="AB41" s="155">
        <f>+X41-AA41</f>
        <v>-1050130</v>
      </c>
      <c r="AD41" s="73" t="s">
        <v>182</v>
      </c>
      <c r="AE41" s="68">
        <v>0</v>
      </c>
      <c r="AF41" s="68">
        <v>0</v>
      </c>
      <c r="AG41" s="68">
        <f>+AE41-AF41</f>
        <v>0</v>
      </c>
      <c r="AH41" s="68">
        <v>1050130</v>
      </c>
      <c r="AI41" s="155">
        <f>+AE41-AH41</f>
        <v>-1050130</v>
      </c>
      <c r="AK41" s="73" t="s">
        <v>182</v>
      </c>
      <c r="AL41" s="68">
        <v>0</v>
      </c>
      <c r="AM41" s="68">
        <v>0</v>
      </c>
      <c r="AN41" s="68">
        <v>0</v>
      </c>
      <c r="AO41" s="68">
        <v>1050130</v>
      </c>
      <c r="AP41" s="155">
        <v>-1050130</v>
      </c>
    </row>
    <row r="42" spans="2:42" ht="15.75">
      <c r="B42" s="73" t="s">
        <v>86</v>
      </c>
      <c r="C42" s="68">
        <v>5983.57</v>
      </c>
      <c r="D42" s="68">
        <v>551726</v>
      </c>
      <c r="E42" s="68">
        <f>+C42-D42</f>
        <v>-545742.43</v>
      </c>
      <c r="F42" s="68">
        <v>551726</v>
      </c>
      <c r="G42" s="155">
        <f>+C42-F42</f>
        <v>-545742.43</v>
      </c>
      <c r="I42" s="73" t="s">
        <v>86</v>
      </c>
      <c r="J42" s="68">
        <v>2125885.54</v>
      </c>
      <c r="K42" s="68">
        <v>5983.57</v>
      </c>
      <c r="L42" s="68">
        <f>+J42-K42</f>
        <v>2119901.97</v>
      </c>
      <c r="M42" s="68">
        <v>551726</v>
      </c>
      <c r="N42" s="155">
        <f>+J42-M42</f>
        <v>1574159.54</v>
      </c>
      <c r="P42" s="73" t="s">
        <v>86</v>
      </c>
      <c r="Q42" s="68">
        <v>72575.85</v>
      </c>
      <c r="R42" s="68">
        <v>2125885.54</v>
      </c>
      <c r="S42" s="68">
        <f>+Q42-R42</f>
        <v>-2053309.69</v>
      </c>
      <c r="T42" s="68">
        <v>551726</v>
      </c>
      <c r="U42" s="155">
        <f>+Q42-T42</f>
        <v>-479150.15</v>
      </c>
      <c r="W42" s="73" t="s">
        <v>86</v>
      </c>
      <c r="X42" s="68">
        <v>86138.81</v>
      </c>
      <c r="Y42" s="68">
        <v>72575.85</v>
      </c>
      <c r="Z42" s="68">
        <f>+X42-Y42</f>
        <v>13562.959999999992</v>
      </c>
      <c r="AA42" s="68">
        <v>551726</v>
      </c>
      <c r="AB42" s="155">
        <f>+X42-AA42</f>
        <v>-465587.19</v>
      </c>
      <c r="AD42" s="73" t="s">
        <v>86</v>
      </c>
      <c r="AE42" s="68">
        <v>36530.96</v>
      </c>
      <c r="AF42" s="68">
        <v>86138.81</v>
      </c>
      <c r="AG42" s="68">
        <f>+AE42-AF42</f>
        <v>-49607.85</v>
      </c>
      <c r="AH42" s="68">
        <v>551726</v>
      </c>
      <c r="AI42" s="155">
        <f>+AE42-AH42</f>
        <v>-515195.04</v>
      </c>
      <c r="AK42" s="73" t="s">
        <v>86</v>
      </c>
      <c r="AL42" s="68">
        <v>-119840.4</v>
      </c>
      <c r="AM42" s="68">
        <v>1634369.38</v>
      </c>
      <c r="AN42" s="68">
        <v>-1754209.7799999998</v>
      </c>
      <c r="AO42" s="68">
        <v>551726</v>
      </c>
      <c r="AP42" s="155">
        <v>-671566.4</v>
      </c>
    </row>
    <row r="43" spans="2:42" ht="15.75">
      <c r="B43" s="73" t="s">
        <v>42</v>
      </c>
      <c r="C43" s="68">
        <v>50780.21</v>
      </c>
      <c r="D43" s="68">
        <v>31679</v>
      </c>
      <c r="E43" s="68">
        <f>+C43-D43</f>
        <v>19101.21</v>
      </c>
      <c r="F43" s="68">
        <v>31679</v>
      </c>
      <c r="G43" s="155">
        <f>+C43-F43</f>
        <v>19101.21</v>
      </c>
      <c r="I43" s="73" t="s">
        <v>42</v>
      </c>
      <c r="J43" s="68">
        <v>71550.08</v>
      </c>
      <c r="K43" s="68">
        <v>50780.21</v>
      </c>
      <c r="L43" s="68">
        <f>+J43-K43</f>
        <v>20769.870000000003</v>
      </c>
      <c r="M43" s="68">
        <v>31679</v>
      </c>
      <c r="N43" s="155">
        <f>+J43-M43</f>
        <v>39871.08</v>
      </c>
      <c r="P43" s="73" t="s">
        <v>42</v>
      </c>
      <c r="Q43" s="68">
        <v>67928.69</v>
      </c>
      <c r="R43" s="68">
        <v>71550.08</v>
      </c>
      <c r="S43" s="68">
        <f>+Q43-R43</f>
        <v>-3621.3899999999994</v>
      </c>
      <c r="T43" s="68">
        <v>31679</v>
      </c>
      <c r="U43" s="155">
        <f>+Q43-T43</f>
        <v>36249.69</v>
      </c>
      <c r="W43" s="73" t="s">
        <v>42</v>
      </c>
      <c r="X43" s="68">
        <v>58973.45</v>
      </c>
      <c r="Y43" s="68">
        <v>67928.69</v>
      </c>
      <c r="Z43" s="68">
        <f>+X43-Y43</f>
        <v>-8955.240000000005</v>
      </c>
      <c r="AA43" s="68">
        <v>31679</v>
      </c>
      <c r="AB43" s="155">
        <f>+X43-AA43</f>
        <v>27294.449999999997</v>
      </c>
      <c r="AD43" s="73" t="s">
        <v>42</v>
      </c>
      <c r="AE43" s="68">
        <v>85882.26</v>
      </c>
      <c r="AF43" s="68">
        <v>58973.45</v>
      </c>
      <c r="AG43" s="68">
        <f>+AE43-AF43</f>
        <v>26908.809999999998</v>
      </c>
      <c r="AH43" s="68">
        <v>31679</v>
      </c>
      <c r="AI43" s="155">
        <f>+AE43-AH43</f>
        <v>54203.259999999995</v>
      </c>
      <c r="AK43" s="73" t="s">
        <v>42</v>
      </c>
      <c r="AL43" s="68">
        <v>57293.07</v>
      </c>
      <c r="AM43" s="68">
        <v>38382.91</v>
      </c>
      <c r="AN43" s="68">
        <v>18910.159999999996</v>
      </c>
      <c r="AO43" s="68">
        <v>31679</v>
      </c>
      <c r="AP43" s="155">
        <v>25614.07</v>
      </c>
    </row>
    <row r="44" spans="2:42" ht="16.5" thickBot="1">
      <c r="B44" s="69" t="s">
        <v>105</v>
      </c>
      <c r="C44" s="77">
        <f>SUM(C39:C43)</f>
        <v>2941218.2699999996</v>
      </c>
      <c r="D44" s="77">
        <f>SUM(D39:D43)</f>
        <v>7647699</v>
      </c>
      <c r="E44" s="77">
        <f>SUM(E39:E43)</f>
        <v>-4706480.7299999995</v>
      </c>
      <c r="F44" s="77">
        <f>SUM(F39:F43)</f>
        <v>7647699</v>
      </c>
      <c r="G44" s="157">
        <f>SUM(G39:G43)</f>
        <v>-4706480.7299999995</v>
      </c>
      <c r="I44" s="69" t="s">
        <v>105</v>
      </c>
      <c r="J44" s="77">
        <f>SUM(J39:J43)</f>
        <v>5845282.41</v>
      </c>
      <c r="K44" s="77">
        <f>SUM(K39:K43)</f>
        <v>2941218.2699999996</v>
      </c>
      <c r="L44" s="77">
        <f>SUM(L39:L43)</f>
        <v>2904064.1400000006</v>
      </c>
      <c r="M44" s="77">
        <f>SUM(M39:M43)</f>
        <v>7647699</v>
      </c>
      <c r="N44" s="157">
        <f>SUM(N39:N43)</f>
        <v>-1802416.5899999999</v>
      </c>
      <c r="P44" s="218" t="s">
        <v>105</v>
      </c>
      <c r="Q44" s="219">
        <f>SUM(Q39:Q43)</f>
        <v>4426202.74</v>
      </c>
      <c r="R44" s="219">
        <f>SUM(R39:R43)</f>
        <v>5845282.41</v>
      </c>
      <c r="S44" s="220">
        <f>SUM(S39:S43)</f>
        <v>-1419079.6699999997</v>
      </c>
      <c r="T44" s="219">
        <f>SUM(T39:T43)</f>
        <v>7647699</v>
      </c>
      <c r="U44" s="221">
        <f>SUM(U39:U43)</f>
        <v>-3221496.26</v>
      </c>
      <c r="W44" s="218" t="s">
        <v>105</v>
      </c>
      <c r="X44" s="219">
        <f>SUM(X39:X43)</f>
        <v>4317832.62</v>
      </c>
      <c r="Y44" s="219">
        <f>SUM(Y39:Y43)</f>
        <v>4426202.74</v>
      </c>
      <c r="Z44" s="220">
        <f>SUM(Z39:Z43)</f>
        <v>-108370.12000000033</v>
      </c>
      <c r="AA44" s="219">
        <f>SUM(AA39:AA43)</f>
        <v>7647699</v>
      </c>
      <c r="AB44" s="221">
        <f>SUM(AB39:AB43)</f>
        <v>-3329866.38</v>
      </c>
      <c r="AD44" s="218" t="s">
        <v>105</v>
      </c>
      <c r="AE44" s="219">
        <f>SUM(AE39:AE43)</f>
        <v>4456035.399999999</v>
      </c>
      <c r="AF44" s="219">
        <f>SUM(AF39:AF43)</f>
        <v>4317832.62</v>
      </c>
      <c r="AG44" s="220">
        <f>SUM(AG39:AG43)</f>
        <v>138202.77999999982</v>
      </c>
      <c r="AH44" s="219">
        <f>SUM(AH39:AH43)</f>
        <v>7647699</v>
      </c>
      <c r="AI44" s="221">
        <f>SUM(AI39:AI43)</f>
        <v>-3191663.6000000006</v>
      </c>
      <c r="AK44" s="218" t="s">
        <v>105</v>
      </c>
      <c r="AL44" s="219">
        <v>2398963.2199999997</v>
      </c>
      <c r="AM44" s="219">
        <v>4854470.01</v>
      </c>
      <c r="AN44" s="220">
        <v>-2455506.79</v>
      </c>
      <c r="AO44" s="219">
        <v>7647699</v>
      </c>
      <c r="AP44" s="221">
        <v>-5248735.78</v>
      </c>
    </row>
    <row r="45" spans="2:42" ht="16.5" thickTop="1">
      <c r="B45" s="76"/>
      <c r="C45" s="20"/>
      <c r="D45" s="20"/>
      <c r="E45" s="20"/>
      <c r="F45" s="20"/>
      <c r="G45" s="159"/>
      <c r="I45" s="76"/>
      <c r="J45" s="20"/>
      <c r="K45" s="20"/>
      <c r="L45" s="20"/>
      <c r="M45" s="20"/>
      <c r="N45" s="159"/>
      <c r="P45" s="76"/>
      <c r="Q45" s="20"/>
      <c r="R45" s="20"/>
      <c r="S45" s="20"/>
      <c r="T45" s="20"/>
      <c r="U45" s="159"/>
      <c r="W45" s="76"/>
      <c r="X45" s="20"/>
      <c r="Y45" s="20"/>
      <c r="Z45" s="20"/>
      <c r="AA45" s="20"/>
      <c r="AB45" s="159"/>
      <c r="AD45" s="76"/>
      <c r="AE45" s="20"/>
      <c r="AF45" s="20"/>
      <c r="AG45" s="20"/>
      <c r="AH45" s="20"/>
      <c r="AI45" s="159"/>
      <c r="AK45" s="76"/>
      <c r="AL45" s="20"/>
      <c r="AM45" s="20"/>
      <c r="AN45" s="20"/>
      <c r="AO45" s="20"/>
      <c r="AP45" s="159"/>
    </row>
    <row r="46" spans="2:42" ht="15.75">
      <c r="B46" s="73"/>
      <c r="C46" s="16"/>
      <c r="D46" s="16"/>
      <c r="E46" s="16"/>
      <c r="F46" s="16"/>
      <c r="G46" s="158"/>
      <c r="I46" s="73"/>
      <c r="J46" s="16"/>
      <c r="K46" s="16"/>
      <c r="L46" s="16"/>
      <c r="M46" s="16"/>
      <c r="N46" s="158"/>
      <c r="P46" s="73"/>
      <c r="Q46" s="16"/>
      <c r="R46" s="16"/>
      <c r="S46" s="16"/>
      <c r="T46" s="16"/>
      <c r="U46" s="158"/>
      <c r="W46" s="73"/>
      <c r="X46" s="16"/>
      <c r="Y46" s="16"/>
      <c r="Z46" s="16"/>
      <c r="AA46" s="16"/>
      <c r="AB46" s="158"/>
      <c r="AD46" s="73"/>
      <c r="AE46" s="16"/>
      <c r="AF46" s="16"/>
      <c r="AG46" s="16"/>
      <c r="AH46" s="16"/>
      <c r="AI46" s="158"/>
      <c r="AK46" s="73"/>
      <c r="AL46" s="16"/>
      <c r="AM46" s="16"/>
      <c r="AN46" s="16"/>
      <c r="AO46" s="16"/>
      <c r="AP46" s="158"/>
    </row>
    <row r="47" spans="2:42" ht="15.75">
      <c r="B47" s="73" t="s">
        <v>43</v>
      </c>
      <c r="C47" s="16">
        <v>42008.47</v>
      </c>
      <c r="D47" s="16">
        <v>42008.47</v>
      </c>
      <c r="E47" s="68">
        <f>+C47-D47</f>
        <v>0</v>
      </c>
      <c r="F47" s="16">
        <v>42008.47</v>
      </c>
      <c r="G47" s="155">
        <f>+C47-F47</f>
        <v>0</v>
      </c>
      <c r="I47" s="73" t="s">
        <v>43</v>
      </c>
      <c r="J47" s="16">
        <v>42008.47</v>
      </c>
      <c r="K47" s="16">
        <v>42008.47</v>
      </c>
      <c r="L47" s="68">
        <f>+J47-K47</f>
        <v>0</v>
      </c>
      <c r="M47" s="16">
        <v>42008.47</v>
      </c>
      <c r="N47" s="155">
        <f>+J47-M47</f>
        <v>0</v>
      </c>
      <c r="P47" s="73" t="s">
        <v>43</v>
      </c>
      <c r="Q47" s="16">
        <v>42008.47</v>
      </c>
      <c r="R47" s="16">
        <v>42008.47</v>
      </c>
      <c r="S47" s="68">
        <f>+Q47-R47</f>
        <v>0</v>
      </c>
      <c r="T47" s="16">
        <v>42008.47</v>
      </c>
      <c r="U47" s="155">
        <f>+Q47-T47</f>
        <v>0</v>
      </c>
      <c r="W47" s="73" t="s">
        <v>43</v>
      </c>
      <c r="X47" s="16">
        <v>42008.47</v>
      </c>
      <c r="Y47" s="16">
        <v>42008.47</v>
      </c>
      <c r="Z47" s="68">
        <f>+X47-Y47</f>
        <v>0</v>
      </c>
      <c r="AA47" s="16">
        <v>42008.47</v>
      </c>
      <c r="AB47" s="155">
        <f>+X47-AA47</f>
        <v>0</v>
      </c>
      <c r="AD47" s="73" t="s">
        <v>43</v>
      </c>
      <c r="AE47" s="16">
        <v>42008.47</v>
      </c>
      <c r="AF47" s="16">
        <v>42008.47</v>
      </c>
      <c r="AG47" s="68">
        <f>+AE47-AF47</f>
        <v>0</v>
      </c>
      <c r="AH47" s="16">
        <v>42008.47</v>
      </c>
      <c r="AI47" s="155">
        <f>+AE47-AH47</f>
        <v>0</v>
      </c>
      <c r="AK47" s="73" t="s">
        <v>43</v>
      </c>
      <c r="AL47" s="16">
        <v>42008.47</v>
      </c>
      <c r="AM47" s="16">
        <v>42008.47</v>
      </c>
      <c r="AN47" s="68">
        <v>0</v>
      </c>
      <c r="AO47" s="16">
        <v>42008.47</v>
      </c>
      <c r="AP47" s="155">
        <v>0</v>
      </c>
    </row>
    <row r="48" spans="2:42" ht="15.75">
      <c r="B48" s="73" t="s">
        <v>47</v>
      </c>
      <c r="C48" s="16">
        <v>25266807.2</v>
      </c>
      <c r="D48" s="16">
        <v>25266807</v>
      </c>
      <c r="E48" s="68">
        <f>+C48-D48</f>
        <v>0.19999999925494194</v>
      </c>
      <c r="F48" s="16">
        <v>25266807</v>
      </c>
      <c r="G48" s="155">
        <f>+C48-F48</f>
        <v>0.19999999925494194</v>
      </c>
      <c r="I48" s="73" t="s">
        <v>47</v>
      </c>
      <c r="J48" s="16">
        <v>25266807.2</v>
      </c>
      <c r="K48" s="16">
        <v>25266807.2</v>
      </c>
      <c r="L48" s="68">
        <f>+J48-K48</f>
        <v>0</v>
      </c>
      <c r="M48" s="16">
        <v>25266807</v>
      </c>
      <c r="N48" s="155">
        <f>+J48-M48</f>
        <v>0.19999999925494194</v>
      </c>
      <c r="P48" s="73" t="s">
        <v>47</v>
      </c>
      <c r="Q48" s="16">
        <v>25266807.2</v>
      </c>
      <c r="R48" s="16">
        <v>25266807.2</v>
      </c>
      <c r="S48" s="68">
        <f>+Q48-R48</f>
        <v>0</v>
      </c>
      <c r="T48" s="16">
        <v>25266807</v>
      </c>
      <c r="U48" s="155">
        <f>+Q48-T48</f>
        <v>0.19999999925494194</v>
      </c>
      <c r="W48" s="73" t="s">
        <v>276</v>
      </c>
      <c r="X48" s="16">
        <v>29242375.2</v>
      </c>
      <c r="Y48" s="16">
        <v>25266807.2</v>
      </c>
      <c r="Z48" s="68">
        <f>+X48-Y48</f>
        <v>3975568</v>
      </c>
      <c r="AA48" s="16">
        <v>25266807</v>
      </c>
      <c r="AB48" s="155">
        <f>+X48-AA48</f>
        <v>3975568.1999999993</v>
      </c>
      <c r="AD48" s="73" t="s">
        <v>276</v>
      </c>
      <c r="AE48" s="16">
        <f>29242375.2+91667</f>
        <v>29334042.2</v>
      </c>
      <c r="AF48" s="16">
        <v>29242375.2</v>
      </c>
      <c r="AG48" s="68">
        <f>+AE48-AF48</f>
        <v>91667</v>
      </c>
      <c r="AH48" s="16">
        <v>25266807</v>
      </c>
      <c r="AI48" s="155">
        <f>+AE48-AH48</f>
        <v>4067235.1999999993</v>
      </c>
      <c r="AK48" s="73" t="s">
        <v>293</v>
      </c>
      <c r="AL48" s="16">
        <v>29815377.2</v>
      </c>
      <c r="AM48" s="16">
        <v>29723710.2</v>
      </c>
      <c r="AN48" s="68">
        <v>91667</v>
      </c>
      <c r="AO48" s="16">
        <v>25266807</v>
      </c>
      <c r="AP48" s="155">
        <v>4548570.199999999</v>
      </c>
    </row>
    <row r="49" spans="2:42" ht="15.75">
      <c r="B49" s="73" t="s">
        <v>55</v>
      </c>
      <c r="C49" s="68">
        <v>74311506.04</v>
      </c>
      <c r="D49" s="16">
        <v>29872679</v>
      </c>
      <c r="E49" s="68">
        <f>+C49-D49</f>
        <v>44438827.04000001</v>
      </c>
      <c r="F49" s="16">
        <v>29872679</v>
      </c>
      <c r="G49" s="155">
        <f>+C49-F49</f>
        <v>44438827.04000001</v>
      </c>
      <c r="I49" s="73" t="s">
        <v>55</v>
      </c>
      <c r="J49" s="16">
        <v>74311506.04</v>
      </c>
      <c r="K49" s="16">
        <v>74311506.04</v>
      </c>
      <c r="L49" s="68">
        <f>+J49-K49</f>
        <v>0</v>
      </c>
      <c r="M49" s="16">
        <v>29872679</v>
      </c>
      <c r="N49" s="155">
        <f>+J49-M49</f>
        <v>44438827.04000001</v>
      </c>
      <c r="P49" s="73" t="s">
        <v>55</v>
      </c>
      <c r="Q49" s="16">
        <v>74311506.04</v>
      </c>
      <c r="R49" s="16">
        <v>74311506.04</v>
      </c>
      <c r="S49" s="68">
        <f>+Q49-R49</f>
        <v>0</v>
      </c>
      <c r="T49" s="16">
        <v>29872679</v>
      </c>
      <c r="U49" s="155">
        <f>+Q49-T49</f>
        <v>44438827.04000001</v>
      </c>
      <c r="W49" s="73" t="s">
        <v>55</v>
      </c>
      <c r="X49" s="16">
        <v>74311506.04</v>
      </c>
      <c r="Y49" s="16">
        <v>74311506.04</v>
      </c>
      <c r="Z49" s="68">
        <f>+X49-Y49</f>
        <v>0</v>
      </c>
      <c r="AA49" s="16">
        <v>29872679</v>
      </c>
      <c r="AB49" s="155">
        <f>+X49-AA49</f>
        <v>44438827.04000001</v>
      </c>
      <c r="AD49" s="73" t="s">
        <v>55</v>
      </c>
      <c r="AE49" s="16">
        <v>74311506.04</v>
      </c>
      <c r="AF49" s="16">
        <v>74311506.04</v>
      </c>
      <c r="AG49" s="68">
        <f>+AE49-AF49</f>
        <v>0</v>
      </c>
      <c r="AH49" s="16">
        <v>29872679</v>
      </c>
      <c r="AI49" s="155">
        <f>+AE49-AH49</f>
        <v>44438827.04000001</v>
      </c>
      <c r="AK49" s="73" t="s">
        <v>55</v>
      </c>
      <c r="AL49" s="16">
        <v>74311506.04</v>
      </c>
      <c r="AM49" s="16">
        <v>74311506.04</v>
      </c>
      <c r="AN49" s="68">
        <v>0</v>
      </c>
      <c r="AO49" s="16">
        <v>29872679</v>
      </c>
      <c r="AP49" s="155">
        <v>44438827.04000001</v>
      </c>
    </row>
    <row r="50" spans="2:42" ht="15.75">
      <c r="B50" s="73" t="s">
        <v>91</v>
      </c>
      <c r="C50" s="78">
        <v>13216209</v>
      </c>
      <c r="D50" s="16">
        <v>44438827</v>
      </c>
      <c r="E50" s="68">
        <f>+C50-D50-1</f>
        <v>-31222619</v>
      </c>
      <c r="F50" s="16">
        <v>44438827</v>
      </c>
      <c r="G50" s="155">
        <f>+C50-F50-1</f>
        <v>-31222619</v>
      </c>
      <c r="I50" s="73" t="s">
        <v>91</v>
      </c>
      <c r="J50" s="16">
        <v>30239974</v>
      </c>
      <c r="K50" s="16">
        <v>13216209</v>
      </c>
      <c r="L50" s="68">
        <f>+J50-K50-1</f>
        <v>17023764</v>
      </c>
      <c r="M50" s="16">
        <v>44438827</v>
      </c>
      <c r="N50" s="155">
        <f>+J50-M50-1</f>
        <v>-14198854</v>
      </c>
      <c r="P50" s="73" t="s">
        <v>91</v>
      </c>
      <c r="Q50" s="16">
        <v>77614839</v>
      </c>
      <c r="R50" s="16">
        <v>30239974</v>
      </c>
      <c r="S50" s="68">
        <f>+Q50-R50-1</f>
        <v>47374864</v>
      </c>
      <c r="T50" s="16">
        <v>44438827</v>
      </c>
      <c r="U50" s="155">
        <f>+Q50-T50-1</f>
        <v>33176011</v>
      </c>
      <c r="W50" s="73" t="s">
        <v>91</v>
      </c>
      <c r="X50" s="16">
        <v>36503067</v>
      </c>
      <c r="Y50" s="16">
        <v>77614839</v>
      </c>
      <c r="Z50" s="68">
        <f>+X50-Y50-1</f>
        <v>-41111773</v>
      </c>
      <c r="AA50" s="16">
        <v>44438827</v>
      </c>
      <c r="AB50" s="155">
        <f>+X50-AA50-1</f>
        <v>-7935761</v>
      </c>
      <c r="AD50" s="73" t="s">
        <v>91</v>
      </c>
      <c r="AE50" s="16">
        <v>69227635</v>
      </c>
      <c r="AF50" s="16">
        <v>36503067</v>
      </c>
      <c r="AG50" s="68">
        <f>+AE50-AF50-1</f>
        <v>32724567</v>
      </c>
      <c r="AH50" s="16">
        <v>44438827</v>
      </c>
      <c r="AI50" s="155">
        <f>+AE50-AH50-1</f>
        <v>24788807</v>
      </c>
      <c r="AK50" s="73" t="s">
        <v>91</v>
      </c>
      <c r="AL50" s="16">
        <v>-30902729.599999923</v>
      </c>
      <c r="AM50" s="16">
        <v>-38527831</v>
      </c>
      <c r="AN50" s="68">
        <v>7625100.400000077</v>
      </c>
      <c r="AO50" s="16">
        <v>44438827</v>
      </c>
      <c r="AP50" s="155">
        <v>-75341557.59999992</v>
      </c>
    </row>
    <row r="51" spans="2:42" ht="16.5" thickBot="1">
      <c r="B51" s="69" t="s">
        <v>90</v>
      </c>
      <c r="C51" s="17">
        <f>SUM(C47:C50)-2</f>
        <v>112836528.71000001</v>
      </c>
      <c r="D51" s="17">
        <f>SUM(D47:D50)</f>
        <v>99620321.47</v>
      </c>
      <c r="E51" s="70">
        <f>SUM(E47:E50)</f>
        <v>13216208.24000001</v>
      </c>
      <c r="F51" s="17">
        <f>SUM(F47:F50)</f>
        <v>99620321.47</v>
      </c>
      <c r="G51" s="157">
        <f>SUM(G47:G50)</f>
        <v>13216208.24000001</v>
      </c>
      <c r="I51" s="69" t="s">
        <v>90</v>
      </c>
      <c r="J51" s="17">
        <f>SUM(J47:J50)</f>
        <v>129860295.71000001</v>
      </c>
      <c r="K51" s="17">
        <f>SUM(K47:K50)-2</f>
        <v>112836528.71000001</v>
      </c>
      <c r="L51" s="70">
        <f>SUM(L47:L50)</f>
        <v>17023764</v>
      </c>
      <c r="M51" s="17">
        <f>SUM(M47:M50)</f>
        <v>99620321.47</v>
      </c>
      <c r="N51" s="157">
        <f>SUM(N47:N50)</f>
        <v>30239973.24000001</v>
      </c>
      <c r="P51" s="218" t="s">
        <v>90</v>
      </c>
      <c r="Q51" s="219">
        <f>SUM(Q47:Q50)+1</f>
        <v>177235161.71</v>
      </c>
      <c r="R51" s="219">
        <f>SUM(R47:R50)</f>
        <v>129860295.71000001</v>
      </c>
      <c r="S51" s="220">
        <f>SUM(S47:S50)-3</f>
        <v>47374861</v>
      </c>
      <c r="T51" s="219">
        <f>SUM(T47:T50)</f>
        <v>99620321.47</v>
      </c>
      <c r="U51" s="221">
        <f>SUM(U47:U50)</f>
        <v>77614838.24000001</v>
      </c>
      <c r="W51" s="218" t="s">
        <v>90</v>
      </c>
      <c r="X51" s="219">
        <f>SUM(X47:X50)+1</f>
        <v>140098957.71</v>
      </c>
      <c r="Y51" s="219">
        <f>SUM(Y47:Y50)+1</f>
        <v>177235161.71</v>
      </c>
      <c r="Z51" s="220">
        <f>SUM(Z47:Z50)-3</f>
        <v>-37136208</v>
      </c>
      <c r="AA51" s="219">
        <f>SUM(AA47:AA50)</f>
        <v>99620321.47</v>
      </c>
      <c r="AB51" s="221">
        <f>SUM(AB47:AB50)</f>
        <v>40478634.24000001</v>
      </c>
      <c r="AD51" s="218" t="s">
        <v>90</v>
      </c>
      <c r="AE51" s="219">
        <f>SUM(AE47:AE50)</f>
        <v>172915191.71</v>
      </c>
      <c r="AF51" s="219">
        <f>SUM(AF47:AF50)+1</f>
        <v>140098957.71</v>
      </c>
      <c r="AG51" s="220">
        <f>SUM(AG47:AG50)</f>
        <v>32816234</v>
      </c>
      <c r="AH51" s="219">
        <f>SUM(AH47:AH50)</f>
        <v>99620321.47</v>
      </c>
      <c r="AI51" s="221">
        <f>SUM(AI47:AI50)</f>
        <v>73294869.24000001</v>
      </c>
      <c r="AK51" s="218" t="s">
        <v>90</v>
      </c>
      <c r="AL51" s="219">
        <v>73266162.11000009</v>
      </c>
      <c r="AM51" s="219">
        <v>65549393.71000001</v>
      </c>
      <c r="AN51" s="220">
        <v>7716767.400000077</v>
      </c>
      <c r="AO51" s="219">
        <v>99620321.47</v>
      </c>
      <c r="AP51" s="221">
        <v>-26354160.35999991</v>
      </c>
    </row>
    <row r="52" spans="2:42" ht="16.5" thickTop="1">
      <c r="B52" s="76"/>
      <c r="C52" s="20"/>
      <c r="D52" s="20"/>
      <c r="E52" s="20"/>
      <c r="F52" s="20"/>
      <c r="G52" s="159"/>
      <c r="I52" s="76"/>
      <c r="J52" s="20"/>
      <c r="K52" s="20"/>
      <c r="L52" s="20"/>
      <c r="M52" s="20"/>
      <c r="N52" s="159"/>
      <c r="P52" s="76"/>
      <c r="Q52" s="20"/>
      <c r="R52" s="20"/>
      <c r="S52" s="20"/>
      <c r="T52" s="20"/>
      <c r="U52" s="159"/>
      <c r="W52" s="76"/>
      <c r="X52" s="20"/>
      <c r="Y52" s="20"/>
      <c r="Z52" s="20"/>
      <c r="AA52" s="20"/>
      <c r="AB52" s="159"/>
      <c r="AD52" s="76"/>
      <c r="AE52" s="20"/>
      <c r="AF52" s="20"/>
      <c r="AG52" s="20"/>
      <c r="AH52" s="20"/>
      <c r="AI52" s="159"/>
      <c r="AK52" s="76"/>
      <c r="AL52" s="20"/>
      <c r="AM52" s="20"/>
      <c r="AN52" s="20"/>
      <c r="AO52" s="20"/>
      <c r="AP52" s="159"/>
    </row>
    <row r="53" spans="2:42" ht="16.5" thickBot="1">
      <c r="B53" s="73"/>
      <c r="C53" s="16"/>
      <c r="D53" s="16"/>
      <c r="E53" s="16"/>
      <c r="F53" s="16"/>
      <c r="G53" s="158"/>
      <c r="I53" s="73"/>
      <c r="J53" s="16"/>
      <c r="K53" s="16"/>
      <c r="L53" s="16"/>
      <c r="M53" s="16"/>
      <c r="N53" s="158"/>
      <c r="P53" s="73"/>
      <c r="Q53" s="16"/>
      <c r="R53" s="16"/>
      <c r="S53" s="16"/>
      <c r="T53" s="16"/>
      <c r="U53" s="158"/>
      <c r="W53" s="73"/>
      <c r="X53" s="16"/>
      <c r="Y53" s="16"/>
      <c r="Z53" s="16"/>
      <c r="AA53" s="16"/>
      <c r="AB53" s="158"/>
      <c r="AD53" s="73"/>
      <c r="AE53" s="16"/>
      <c r="AF53" s="16"/>
      <c r="AG53" s="16"/>
      <c r="AH53" s="16"/>
      <c r="AI53" s="158"/>
      <c r="AK53" s="73"/>
      <c r="AL53" s="16"/>
      <c r="AM53" s="16"/>
      <c r="AN53" s="16"/>
      <c r="AO53" s="16"/>
      <c r="AP53" s="158"/>
    </row>
    <row r="54" spans="2:42" ht="17.25" thickBot="1" thickTop="1">
      <c r="B54" s="79" t="s">
        <v>106</v>
      </c>
      <c r="C54" s="80">
        <f>+C51+C44+2</f>
        <v>115777748.98</v>
      </c>
      <c r="D54" s="80">
        <f>+D51+D44</f>
        <v>107268020.47</v>
      </c>
      <c r="E54" s="81">
        <f>+E51+E44</f>
        <v>8509727.51000001</v>
      </c>
      <c r="F54" s="80">
        <f>+F51+F44-2</f>
        <v>107268018.47</v>
      </c>
      <c r="G54" s="160">
        <f>+G51+G44</f>
        <v>8509727.51000001</v>
      </c>
      <c r="I54" s="79" t="s">
        <v>106</v>
      </c>
      <c r="J54" s="80">
        <f>+J51+J44+2</f>
        <v>135705580.12</v>
      </c>
      <c r="K54" s="80">
        <f>+K51+K44+2</f>
        <v>115777748.98</v>
      </c>
      <c r="L54" s="81">
        <f>+L51+L44+3</f>
        <v>19927831.14</v>
      </c>
      <c r="M54" s="80">
        <f>+M51+M44+1</f>
        <v>107268021.47</v>
      </c>
      <c r="N54" s="160">
        <f>+N51+N44+2</f>
        <v>28437558.65000001</v>
      </c>
      <c r="P54" s="214" t="s">
        <v>106</v>
      </c>
      <c r="Q54" s="215">
        <f>+Q51+Q44</f>
        <v>181661364.45000002</v>
      </c>
      <c r="R54" s="215">
        <f>+R51+R44+2</f>
        <v>135705580.12</v>
      </c>
      <c r="S54" s="216">
        <f>+S51+S44+3</f>
        <v>45955784.33</v>
      </c>
      <c r="T54" s="215">
        <f>+T51+T44+1</f>
        <v>107268021.47</v>
      </c>
      <c r="U54" s="217">
        <f>+U51+U44</f>
        <v>74393341.98</v>
      </c>
      <c r="W54" s="214" t="s">
        <v>106</v>
      </c>
      <c r="X54" s="215">
        <f>+X51+X44</f>
        <v>144416790.33</v>
      </c>
      <c r="Y54" s="215">
        <f>+Y51+Y44</f>
        <v>181661364.45000002</v>
      </c>
      <c r="Z54" s="216">
        <f>+Z51+Z44+4</f>
        <v>-37244574.12</v>
      </c>
      <c r="AA54" s="215">
        <f>+AA51+AA44+1</f>
        <v>107268021.47</v>
      </c>
      <c r="AB54" s="217">
        <f>+AB51+AB44</f>
        <v>37148767.86000001</v>
      </c>
      <c r="AD54" s="214" t="s">
        <v>106</v>
      </c>
      <c r="AE54" s="215">
        <f>+AE51+AE44</f>
        <v>177371227.11</v>
      </c>
      <c r="AF54" s="215">
        <f>+AF51+AF44</f>
        <v>144416790.33</v>
      </c>
      <c r="AG54" s="216">
        <f>+AG51+AG44</f>
        <v>32954436.78</v>
      </c>
      <c r="AH54" s="215">
        <f>+AH51+AH44+1</f>
        <v>107268021.47</v>
      </c>
      <c r="AI54" s="217">
        <f>+AI51+AI44</f>
        <v>70103205.64000002</v>
      </c>
      <c r="AK54" s="214" t="s">
        <v>106</v>
      </c>
      <c r="AL54" s="215">
        <v>75665125.33000009</v>
      </c>
      <c r="AM54" s="215">
        <v>70403863.72000001</v>
      </c>
      <c r="AN54" s="216">
        <v>5261260.610000077</v>
      </c>
      <c r="AO54" s="215">
        <v>107268021.47</v>
      </c>
      <c r="AP54" s="217">
        <v>-31602896.13999991</v>
      </c>
    </row>
    <row r="55" ht="16.5" thickTop="1"/>
    <row r="56" spans="3:42" ht="15.75">
      <c r="C56" s="25"/>
      <c r="D56" s="25"/>
      <c r="E56" s="25"/>
      <c r="F56" s="25"/>
      <c r="G56" s="25"/>
      <c r="J56" s="25"/>
      <c r="K56" s="25"/>
      <c r="L56" s="25"/>
      <c r="M56" s="25"/>
      <c r="N56" s="25"/>
      <c r="Q56" s="25"/>
      <c r="R56" s="25"/>
      <c r="S56" s="25"/>
      <c r="T56" s="25"/>
      <c r="U56" s="25"/>
      <c r="X56" s="25"/>
      <c r="Y56" s="25"/>
      <c r="Z56" s="25"/>
      <c r="AA56" s="25"/>
      <c r="AB56" s="25"/>
      <c r="AE56" s="25"/>
      <c r="AF56" s="25"/>
      <c r="AG56" s="25"/>
      <c r="AH56" s="25"/>
      <c r="AI56" s="25"/>
      <c r="AL56" s="25"/>
      <c r="AM56" s="25"/>
      <c r="AN56" s="25"/>
      <c r="AO56" s="25"/>
      <c r="AP56" s="25"/>
    </row>
  </sheetData>
  <sheetProtection/>
  <mergeCells count="18">
    <mergeCell ref="W2:AB2"/>
    <mergeCell ref="W3:AB3"/>
    <mergeCell ref="B1:G1"/>
    <mergeCell ref="B2:G2"/>
    <mergeCell ref="B3:G3"/>
    <mergeCell ref="I1:N1"/>
    <mergeCell ref="I2:N2"/>
    <mergeCell ref="I3:N3"/>
    <mergeCell ref="AK1:AP1"/>
    <mergeCell ref="AK2:AP2"/>
    <mergeCell ref="AK3:AP3"/>
    <mergeCell ref="P1:U1"/>
    <mergeCell ref="P2:U2"/>
    <mergeCell ref="P3:U3"/>
    <mergeCell ref="AD1:AI1"/>
    <mergeCell ref="AD2:AI2"/>
    <mergeCell ref="AD3:AI3"/>
    <mergeCell ref="W1:AB1"/>
  </mergeCells>
  <printOptions horizontalCentered="1"/>
  <pageMargins left="0.83" right="0.15748031496062992" top="0.15748031496062992" bottom="0.15748031496062992" header="0" footer="0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J1714"/>
  <sheetViews>
    <sheetView zoomScalePageLayoutView="0" workbookViewId="0" topLeftCell="A1">
      <selection activeCell="A31" sqref="A31"/>
    </sheetView>
  </sheetViews>
  <sheetFormatPr defaultColWidth="10.00390625" defaultRowHeight="15.75"/>
  <cols>
    <col min="1" max="3" width="10.00390625" style="82" customWidth="1"/>
    <col min="4" max="4" width="12.25390625" style="82" customWidth="1"/>
    <col min="5" max="5" width="11.375" style="82" customWidth="1"/>
    <col min="6" max="6" width="20.625" style="83" customWidth="1"/>
    <col min="7" max="7" width="16.50390625" style="82" customWidth="1"/>
    <col min="8" max="8" width="18.25390625" style="83" customWidth="1"/>
    <col min="9" max="9" width="14.00390625" style="82" customWidth="1"/>
    <col min="10" max="16384" width="10.00390625" style="82" customWidth="1"/>
  </cols>
  <sheetData>
    <row r="1" ht="15" thickBot="1"/>
    <row r="2" spans="2:8" s="179" customFormat="1" ht="31.5" customHeight="1">
      <c r="B2" s="372" t="s">
        <v>196</v>
      </c>
      <c r="C2" s="373"/>
      <c r="D2" s="373"/>
      <c r="E2" s="373"/>
      <c r="F2" s="373"/>
      <c r="G2" s="373"/>
      <c r="H2" s="374"/>
    </row>
    <row r="3" spans="2:8" ht="15.75">
      <c r="B3" s="375" t="s">
        <v>223</v>
      </c>
      <c r="C3" s="353"/>
      <c r="D3" s="353"/>
      <c r="E3" s="353"/>
      <c r="F3" s="353"/>
      <c r="G3" s="353"/>
      <c r="H3" s="376"/>
    </row>
    <row r="4" spans="2:8" ht="16.5" thickBot="1">
      <c r="B4" s="377" t="s">
        <v>294</v>
      </c>
      <c r="C4" s="378"/>
      <c r="D4" s="378"/>
      <c r="E4" s="378"/>
      <c r="F4" s="378"/>
      <c r="G4" s="378"/>
      <c r="H4" s="379"/>
    </row>
    <row r="6" spans="2:8" ht="14.25" hidden="1">
      <c r="B6" s="84" t="s">
        <v>149</v>
      </c>
      <c r="C6" s="84"/>
      <c r="D6" s="84"/>
      <c r="E6" s="84"/>
      <c r="F6" s="84"/>
      <c r="G6" s="85">
        <v>0</v>
      </c>
      <c r="H6" s="85"/>
    </row>
    <row r="7" spans="2:8" ht="14.25" hidden="1">
      <c r="B7" s="86" t="s">
        <v>150</v>
      </c>
      <c r="C7" s="86"/>
      <c r="D7" s="86"/>
      <c r="E7" s="86"/>
      <c r="F7" s="86"/>
      <c r="G7" s="87">
        <v>0</v>
      </c>
      <c r="H7" s="87"/>
    </row>
    <row r="8" spans="2:8" ht="15" thickBot="1">
      <c r="B8" s="223" t="s">
        <v>119</v>
      </c>
      <c r="C8" s="223"/>
      <c r="D8" s="223"/>
      <c r="E8" s="223"/>
      <c r="F8" s="223"/>
      <c r="G8" s="224"/>
      <c r="H8" s="225">
        <v>22904918</v>
      </c>
    </row>
    <row r="9" ht="15" thickTop="1"/>
    <row r="10" spans="2:8" ht="14.25">
      <c r="B10" s="167" t="s">
        <v>93</v>
      </c>
      <c r="C10" s="168"/>
      <c r="D10" s="168"/>
      <c r="E10" s="88"/>
      <c r="F10" s="89"/>
      <c r="G10" s="88"/>
      <c r="H10" s="89"/>
    </row>
    <row r="12" spans="2:8" ht="15">
      <c r="B12" s="90" t="s">
        <v>151</v>
      </c>
      <c r="H12" s="91">
        <f>F13+F14</f>
        <v>50196682</v>
      </c>
    </row>
    <row r="13" spans="2:6" ht="14.25">
      <c r="B13" s="82" t="s">
        <v>180</v>
      </c>
      <c r="F13" s="92">
        <v>25196682</v>
      </c>
    </row>
    <row r="14" spans="2:6" ht="14.25">
      <c r="B14" s="82" t="s">
        <v>280</v>
      </c>
      <c r="F14" s="97">
        <v>25000000</v>
      </c>
    </row>
    <row r="15" spans="2:6" ht="14.25" hidden="1">
      <c r="B15" s="82" t="s">
        <v>158</v>
      </c>
      <c r="F15" s="92">
        <v>0</v>
      </c>
    </row>
    <row r="16" spans="2:6" ht="14.25" hidden="1">
      <c r="B16" s="82" t="s">
        <v>153</v>
      </c>
      <c r="F16" s="92">
        <v>0</v>
      </c>
    </row>
    <row r="17" spans="2:6" ht="14.25" hidden="1">
      <c r="B17" s="82" t="s">
        <v>154</v>
      </c>
      <c r="F17" s="92">
        <v>0</v>
      </c>
    </row>
    <row r="18" ht="14.25">
      <c r="F18" s="92"/>
    </row>
    <row r="19" spans="2:8" ht="15" thickBot="1">
      <c r="B19" s="223" t="s">
        <v>163</v>
      </c>
      <c r="C19" s="223"/>
      <c r="D19" s="223"/>
      <c r="E19" s="223"/>
      <c r="F19" s="223"/>
      <c r="G19" s="224"/>
      <c r="H19" s="238">
        <f>H8+H12</f>
        <v>73101600</v>
      </c>
    </row>
    <row r="20" ht="15" thickTop="1"/>
    <row r="21" spans="2:4" ht="14.25">
      <c r="B21" s="167" t="s">
        <v>94</v>
      </c>
      <c r="C21" s="168"/>
      <c r="D21" s="168"/>
    </row>
    <row r="23" spans="2:7" ht="15">
      <c r="B23" s="90" t="s">
        <v>155</v>
      </c>
      <c r="G23" s="93">
        <f>SUM(F24:F27)+1</f>
        <v>17123095</v>
      </c>
    </row>
    <row r="24" spans="2:8" ht="14.25">
      <c r="B24" s="82" t="s">
        <v>130</v>
      </c>
      <c r="F24" s="94">
        <v>13031817</v>
      </c>
      <c r="H24" s="93"/>
    </row>
    <row r="25" spans="2:8" ht="14.25">
      <c r="B25" s="82" t="s">
        <v>109</v>
      </c>
      <c r="F25" s="94">
        <v>598586</v>
      </c>
      <c r="H25" s="93"/>
    </row>
    <row r="26" spans="2:8" ht="14.25">
      <c r="B26" s="82" t="s">
        <v>110</v>
      </c>
      <c r="F26" s="94">
        <v>3477628</v>
      </c>
      <c r="H26" s="93"/>
    </row>
    <row r="27" spans="2:8" ht="14.25">
      <c r="B27" s="82" t="s">
        <v>279</v>
      </c>
      <c r="F27" s="94">
        <v>15063</v>
      </c>
      <c r="H27" s="93"/>
    </row>
    <row r="28" spans="6:8" ht="14.25">
      <c r="F28" s="82"/>
      <c r="H28" s="93"/>
    </row>
    <row r="29" spans="2:7" ht="15">
      <c r="B29" s="90" t="s">
        <v>112</v>
      </c>
      <c r="F29" s="82"/>
      <c r="G29" s="93">
        <f>SUM(F31:F33)+1</f>
        <v>15866590.299999999</v>
      </c>
    </row>
    <row r="30" spans="2:8" ht="14.25">
      <c r="B30" s="95"/>
      <c r="F30" s="82"/>
      <c r="G30" s="93"/>
      <c r="H30" s="93"/>
    </row>
    <row r="31" spans="2:8" ht="14.25">
      <c r="B31" s="82" t="s">
        <v>95</v>
      </c>
      <c r="F31" s="94">
        <v>15446521.7</v>
      </c>
      <c r="H31" s="93"/>
    </row>
    <row r="32" spans="2:8" ht="14.25">
      <c r="B32" s="82" t="s">
        <v>96</v>
      </c>
      <c r="F32" s="222">
        <v>420067.6</v>
      </c>
      <c r="H32" s="93"/>
    </row>
    <row r="33" spans="2:8" ht="14.25">
      <c r="B33" s="82" t="s">
        <v>68</v>
      </c>
      <c r="F33" s="96">
        <v>0</v>
      </c>
      <c r="H33" s="93"/>
    </row>
    <row r="34" spans="6:8" ht="14.25">
      <c r="F34" s="82"/>
      <c r="H34" s="93"/>
    </row>
    <row r="35" spans="2:8" ht="15" thickBot="1">
      <c r="B35" s="223" t="s">
        <v>156</v>
      </c>
      <c r="C35" s="223"/>
      <c r="D35" s="223"/>
      <c r="E35" s="223"/>
      <c r="F35" s="223"/>
      <c r="G35" s="224"/>
      <c r="H35" s="238">
        <f>+G23+G29</f>
        <v>32989685.299999997</v>
      </c>
    </row>
    <row r="36" ht="15" thickTop="1"/>
    <row r="38" spans="2:8" ht="17.25" customHeight="1" thickBot="1">
      <c r="B38" s="380" t="s">
        <v>157</v>
      </c>
      <c r="C38" s="380"/>
      <c r="D38" s="380"/>
      <c r="E38" s="380"/>
      <c r="F38" s="226"/>
      <c r="G38" s="227"/>
      <c r="H38" s="238">
        <f>H19-H35</f>
        <v>40111914.7</v>
      </c>
    </row>
    <row r="39" spans="3:8" ht="15" thickTop="1">
      <c r="C39" s="82" t="s">
        <v>137</v>
      </c>
      <c r="H39" s="92" t="s">
        <v>137</v>
      </c>
    </row>
    <row r="40" spans="2:8" ht="15" thickBot="1">
      <c r="B40" s="223" t="s">
        <v>164</v>
      </c>
      <c r="C40" s="223"/>
      <c r="D40" s="223"/>
      <c r="E40" s="223"/>
      <c r="F40" s="223"/>
      <c r="G40" s="224"/>
      <c r="H40" s="238">
        <f>F42+F43+F44</f>
        <v>179161</v>
      </c>
    </row>
    <row r="41" spans="3:8" ht="15" thickTop="1">
      <c r="C41" s="82" t="s">
        <v>137</v>
      </c>
      <c r="H41" s="82"/>
    </row>
    <row r="42" spans="2:6" ht="14.25">
      <c r="B42" s="82" t="s">
        <v>48</v>
      </c>
      <c r="F42" s="97">
        <v>76803</v>
      </c>
    </row>
    <row r="43" spans="2:6" ht="14.25">
      <c r="B43" s="82" t="s">
        <v>125</v>
      </c>
      <c r="F43" s="97">
        <v>16186</v>
      </c>
    </row>
    <row r="44" spans="2:8" ht="15" thickBot="1">
      <c r="B44" s="82" t="s">
        <v>66</v>
      </c>
      <c r="F44" s="281">
        <v>86172</v>
      </c>
      <c r="H44" s="82"/>
    </row>
    <row r="46" ht="14.25">
      <c r="B46" s="82" t="s">
        <v>137</v>
      </c>
    </row>
    <row r="47" spans="2:8" ht="15" thickBot="1">
      <c r="B47" s="226" t="s">
        <v>167</v>
      </c>
      <c r="C47" s="226"/>
      <c r="D47" s="226"/>
      <c r="E47" s="226"/>
      <c r="F47" s="226"/>
      <c r="G47" s="227"/>
      <c r="H47" s="237">
        <f>F49-F60-F72</f>
        <v>-1492040</v>
      </c>
    </row>
    <row r="48" ht="15" thickTop="1"/>
    <row r="49" spans="2:6" ht="16.5" customHeight="1">
      <c r="B49" s="90" t="s">
        <v>168</v>
      </c>
      <c r="F49" s="91">
        <f>SUM(E50:E58)</f>
        <v>1002491</v>
      </c>
    </row>
    <row r="50" spans="2:5" ht="14.25">
      <c r="B50" s="82" t="s">
        <v>138</v>
      </c>
      <c r="E50" s="92">
        <v>142850</v>
      </c>
    </row>
    <row r="51" spans="2:5" ht="14.25">
      <c r="B51" s="82" t="s">
        <v>139</v>
      </c>
      <c r="E51" s="121">
        <v>659170</v>
      </c>
    </row>
    <row r="52" spans="2:6" ht="14.25" hidden="1">
      <c r="B52" s="82" t="s">
        <v>233</v>
      </c>
      <c r="E52" s="121">
        <v>0</v>
      </c>
      <c r="F52" s="92"/>
    </row>
    <row r="53" spans="2:5" ht="14.25">
      <c r="B53" s="82" t="s">
        <v>146</v>
      </c>
      <c r="E53" s="121">
        <v>181561</v>
      </c>
    </row>
    <row r="54" spans="2:5" ht="14.25" hidden="1">
      <c r="B54" s="82" t="s">
        <v>132</v>
      </c>
      <c r="E54" s="121"/>
    </row>
    <row r="55" spans="2:5" ht="14.25" hidden="1">
      <c r="B55" s="82" t="s">
        <v>140</v>
      </c>
      <c r="E55" s="121"/>
    </row>
    <row r="56" spans="2:6" ht="14.25" hidden="1">
      <c r="B56" s="82" t="s">
        <v>181</v>
      </c>
      <c r="E56" s="122"/>
      <c r="F56" s="82"/>
    </row>
    <row r="57" spans="2:5" ht="14.25" hidden="1">
      <c r="B57" s="82" t="s">
        <v>143</v>
      </c>
      <c r="E57" s="121"/>
    </row>
    <row r="58" spans="2:5" ht="14.25">
      <c r="B58" s="82" t="s">
        <v>141</v>
      </c>
      <c r="E58" s="121">
        <v>18910</v>
      </c>
    </row>
    <row r="59" spans="5:10" ht="14.25">
      <c r="E59" s="121"/>
      <c r="J59" s="98"/>
    </row>
    <row r="60" spans="2:10" ht="15">
      <c r="B60" s="90" t="s">
        <v>169</v>
      </c>
      <c r="E60" s="88"/>
      <c r="F60" s="91">
        <f>SUM(E61:E70)</f>
        <v>2494531</v>
      </c>
      <c r="J60" s="99"/>
    </row>
    <row r="61" spans="5:6" ht="14.25">
      <c r="E61" s="122"/>
      <c r="F61" s="120"/>
    </row>
    <row r="62" spans="2:5" ht="14.25" hidden="1">
      <c r="B62" s="82" t="s">
        <v>138</v>
      </c>
      <c r="E62" s="121"/>
    </row>
    <row r="63" spans="2:5" ht="14.25" hidden="1">
      <c r="B63" s="82" t="s">
        <v>139</v>
      </c>
      <c r="E63" s="121"/>
    </row>
    <row r="64" spans="2:6" ht="14.25">
      <c r="B64" s="82" t="s">
        <v>233</v>
      </c>
      <c r="E64" s="121">
        <v>20114</v>
      </c>
      <c r="F64" s="92"/>
    </row>
    <row r="65" spans="2:5" ht="14.25" hidden="1">
      <c r="B65" s="82" t="s">
        <v>146</v>
      </c>
      <c r="E65" s="121"/>
    </row>
    <row r="66" spans="2:5" ht="14.25" hidden="1">
      <c r="B66" s="82" t="s">
        <v>132</v>
      </c>
      <c r="E66" s="121"/>
    </row>
    <row r="67" spans="2:5" ht="14.25">
      <c r="B67" s="82" t="s">
        <v>140</v>
      </c>
      <c r="E67" s="121">
        <v>720207</v>
      </c>
    </row>
    <row r="68" spans="2:6" ht="14.25" hidden="1">
      <c r="B68" s="82" t="s">
        <v>181</v>
      </c>
      <c r="E68" s="121"/>
      <c r="F68" s="82"/>
    </row>
    <row r="69" spans="2:5" ht="14.25">
      <c r="B69" s="82" t="s">
        <v>143</v>
      </c>
      <c r="E69" s="121">
        <v>1754210</v>
      </c>
    </row>
    <row r="70" spans="2:5" ht="14.25" hidden="1">
      <c r="B70" s="82" t="s">
        <v>141</v>
      </c>
      <c r="E70" s="92">
        <v>0</v>
      </c>
    </row>
    <row r="71" ht="14.25" hidden="1">
      <c r="E71" s="92"/>
    </row>
    <row r="72" spans="2:6" ht="14.25" hidden="1">
      <c r="B72" s="95" t="s">
        <v>190</v>
      </c>
      <c r="E72" s="92"/>
      <c r="F72" s="91"/>
    </row>
    <row r="73" ht="14.25">
      <c r="E73" s="92"/>
    </row>
    <row r="74" spans="2:8" ht="15" thickBot="1">
      <c r="B74" s="223" t="s">
        <v>120</v>
      </c>
      <c r="C74" s="223"/>
      <c r="D74" s="223"/>
      <c r="E74" s="223"/>
      <c r="F74" s="223"/>
      <c r="G74" s="224"/>
      <c r="H74" s="231">
        <f>H38+H40+H47+2</f>
        <v>38799037.7</v>
      </c>
    </row>
    <row r="75" ht="15" thickTop="1"/>
    <row r="1481" ht="14.25">
      <c r="C1481" s="82" t="s">
        <v>137</v>
      </c>
    </row>
    <row r="1714" ht="14.25">
      <c r="C1714" s="82" t="s">
        <v>137</v>
      </c>
    </row>
  </sheetData>
  <sheetProtection/>
  <mergeCells count="4">
    <mergeCell ref="B2:H2"/>
    <mergeCell ref="B3:H3"/>
    <mergeCell ref="B4:H4"/>
    <mergeCell ref="B38:E38"/>
  </mergeCells>
  <printOptions/>
  <pageMargins left="0.8" right="0.25" top="0.46" bottom="0.28" header="0.2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1729"/>
  <sheetViews>
    <sheetView zoomScalePageLayoutView="0" workbookViewId="0" topLeftCell="A1">
      <selection activeCell="F14" sqref="F14"/>
    </sheetView>
  </sheetViews>
  <sheetFormatPr defaultColWidth="10.00390625" defaultRowHeight="15.75"/>
  <cols>
    <col min="1" max="2" width="10.00390625" style="82" customWidth="1"/>
    <col min="3" max="3" width="13.50390625" style="82" customWidth="1"/>
    <col min="4" max="4" width="13.875" style="82" customWidth="1"/>
    <col min="5" max="5" width="13.75390625" style="83" customWidth="1"/>
    <col min="6" max="6" width="15.25390625" style="82" customWidth="1"/>
    <col min="7" max="7" width="21.375" style="83" customWidth="1"/>
    <col min="8" max="8" width="14.625" style="82" customWidth="1"/>
    <col min="9" max="9" width="21.875" style="82" customWidth="1"/>
    <col min="10" max="16384" width="10.00390625" style="82" customWidth="1"/>
  </cols>
  <sheetData>
    <row r="1" spans="1:7" ht="18">
      <c r="A1" s="381" t="s">
        <v>196</v>
      </c>
      <c r="B1" s="382"/>
      <c r="C1" s="382"/>
      <c r="D1" s="382"/>
      <c r="E1" s="382"/>
      <c r="F1" s="382"/>
      <c r="G1" s="383"/>
    </row>
    <row r="2" spans="1:7" ht="15.75">
      <c r="A2" s="375" t="s">
        <v>222</v>
      </c>
      <c r="B2" s="353"/>
      <c r="C2" s="353"/>
      <c r="D2" s="353"/>
      <c r="E2" s="353"/>
      <c r="F2" s="353"/>
      <c r="G2" s="376"/>
    </row>
    <row r="3" spans="1:7" ht="16.5" thickBot="1">
      <c r="A3" s="377" t="s">
        <v>295</v>
      </c>
      <c r="B3" s="378"/>
      <c r="C3" s="378"/>
      <c r="D3" s="378"/>
      <c r="E3" s="378"/>
      <c r="F3" s="378"/>
      <c r="G3" s="379"/>
    </row>
    <row r="4" spans="1:7" ht="14.25">
      <c r="A4" s="100" t="s">
        <v>137</v>
      </c>
      <c r="B4" s="100"/>
      <c r="C4" s="100"/>
      <c r="D4" s="100"/>
      <c r="E4" s="101"/>
      <c r="F4" s="100"/>
      <c r="G4" s="101"/>
    </row>
    <row r="5" spans="1:7" ht="14.25">
      <c r="A5" s="100"/>
      <c r="B5" s="100"/>
      <c r="C5" s="100"/>
      <c r="D5" s="100"/>
      <c r="E5" s="101"/>
      <c r="F5" s="100"/>
      <c r="G5" s="101"/>
    </row>
    <row r="6" spans="1:7" ht="15" customHeight="1" hidden="1">
      <c r="A6" s="102" t="s">
        <v>149</v>
      </c>
      <c r="B6" s="102"/>
      <c r="C6" s="102"/>
      <c r="D6" s="102"/>
      <c r="E6" s="102"/>
      <c r="F6" s="103">
        <v>0</v>
      </c>
      <c r="G6" s="103"/>
    </row>
    <row r="7" spans="1:7" ht="15" customHeight="1" hidden="1">
      <c r="A7" s="104" t="s">
        <v>150</v>
      </c>
      <c r="B7" s="104"/>
      <c r="C7" s="104"/>
      <c r="D7" s="104"/>
      <c r="E7" s="104"/>
      <c r="F7" s="105">
        <v>0</v>
      </c>
      <c r="G7" s="105"/>
    </row>
    <row r="8" spans="1:7" ht="15" thickBot="1">
      <c r="A8" s="228" t="s">
        <v>92</v>
      </c>
      <c r="B8" s="228"/>
      <c r="C8" s="228"/>
      <c r="D8" s="228"/>
      <c r="E8" s="228"/>
      <c r="F8" s="229"/>
      <c r="G8" s="231">
        <v>21764275.13</v>
      </c>
    </row>
    <row r="9" spans="1:8" ht="15" thickTop="1">
      <c r="A9" s="100" t="s">
        <v>266</v>
      </c>
      <c r="B9" s="100"/>
      <c r="C9" s="100"/>
      <c r="D9" s="100"/>
      <c r="E9" s="101"/>
      <c r="F9" s="106" t="s">
        <v>137</v>
      </c>
      <c r="G9" s="180">
        <v>54436482</v>
      </c>
      <c r="H9" s="147"/>
    </row>
    <row r="10" spans="1:7" ht="15" thickBot="1">
      <c r="A10" s="228" t="s">
        <v>267</v>
      </c>
      <c r="B10" s="228"/>
      <c r="C10" s="228"/>
      <c r="D10" s="228"/>
      <c r="E10" s="228"/>
      <c r="F10" s="229"/>
      <c r="G10" s="230">
        <v>-32672206.87</v>
      </c>
    </row>
    <row r="11" spans="1:7" ht="15" thickTop="1">
      <c r="A11" s="100"/>
      <c r="B11" s="100"/>
      <c r="C11" s="100"/>
      <c r="D11" s="100"/>
      <c r="E11" s="101"/>
      <c r="F11" s="100"/>
      <c r="G11" s="181"/>
    </row>
    <row r="12" spans="1:7" ht="14.25">
      <c r="A12" s="169" t="s">
        <v>93</v>
      </c>
      <c r="B12" s="170"/>
      <c r="C12" s="170"/>
      <c r="D12" s="107"/>
      <c r="E12" s="108"/>
      <c r="F12" s="107"/>
      <c r="G12" s="182"/>
    </row>
    <row r="13" spans="1:9" ht="14.25">
      <c r="A13" s="100"/>
      <c r="B13" s="100"/>
      <c r="C13" s="100"/>
      <c r="D13" s="100"/>
      <c r="E13" s="101"/>
      <c r="F13" s="100"/>
      <c r="G13" s="181"/>
      <c r="I13" s="145"/>
    </row>
    <row r="14" spans="1:10" ht="15">
      <c r="A14" s="109" t="s">
        <v>151</v>
      </c>
      <c r="B14" s="100"/>
      <c r="C14" s="100"/>
      <c r="D14" s="100"/>
      <c r="E14" s="101"/>
      <c r="F14" s="100"/>
      <c r="G14" s="183">
        <v>734792111</v>
      </c>
      <c r="J14" s="146"/>
    </row>
    <row r="15" spans="1:7" ht="17.25" customHeight="1">
      <c r="A15" s="100" t="s">
        <v>152</v>
      </c>
      <c r="B15" s="100"/>
      <c r="C15" s="100"/>
      <c r="D15" s="100"/>
      <c r="E15" s="106">
        <v>659792111</v>
      </c>
      <c r="F15" s="100"/>
      <c r="G15" s="181"/>
    </row>
    <row r="16" spans="1:7" ht="15" customHeight="1">
      <c r="A16" s="100" t="s">
        <v>176</v>
      </c>
      <c r="B16" s="100"/>
      <c r="C16" s="100"/>
      <c r="D16" s="100"/>
      <c r="E16" s="106">
        <v>75000000</v>
      </c>
      <c r="F16" s="100"/>
      <c r="G16" s="181"/>
    </row>
    <row r="17" spans="1:7" ht="15" customHeight="1" hidden="1">
      <c r="A17" s="100" t="s">
        <v>175</v>
      </c>
      <c r="B17" s="100"/>
      <c r="C17" s="100"/>
      <c r="D17" s="100"/>
      <c r="E17" s="139">
        <v>0</v>
      </c>
      <c r="F17" s="100"/>
      <c r="G17" s="181"/>
    </row>
    <row r="18" spans="1:7" ht="15" customHeight="1" hidden="1">
      <c r="A18" s="100" t="s">
        <v>153</v>
      </c>
      <c r="B18" s="100"/>
      <c r="C18" s="100"/>
      <c r="D18" s="100"/>
      <c r="E18" s="106">
        <v>0</v>
      </c>
      <c r="F18" s="100"/>
      <c r="G18" s="181"/>
    </row>
    <row r="19" spans="1:7" ht="15" customHeight="1" hidden="1">
      <c r="A19" s="100" t="s">
        <v>154</v>
      </c>
      <c r="B19" s="100"/>
      <c r="C19" s="100"/>
      <c r="D19" s="100"/>
      <c r="E19" s="106">
        <v>0</v>
      </c>
      <c r="F19" s="100"/>
      <c r="G19" s="181"/>
    </row>
    <row r="20" spans="1:9" ht="14.25">
      <c r="A20" s="100"/>
      <c r="B20" s="100"/>
      <c r="C20" s="100"/>
      <c r="D20" s="100"/>
      <c r="E20" s="106"/>
      <c r="F20" s="100"/>
      <c r="G20" s="181"/>
      <c r="I20" s="143"/>
    </row>
    <row r="21" spans="1:7" ht="15" thickBot="1">
      <c r="A21" s="228" t="s">
        <v>163</v>
      </c>
      <c r="B21" s="228"/>
      <c r="C21" s="228"/>
      <c r="D21" s="228"/>
      <c r="E21" s="228"/>
      <c r="F21" s="229"/>
      <c r="G21" s="231">
        <v>756556386</v>
      </c>
    </row>
    <row r="22" spans="1:9" ht="15" thickTop="1">
      <c r="A22" s="100"/>
      <c r="B22" s="100"/>
      <c r="C22" s="100"/>
      <c r="D22" s="100"/>
      <c r="E22" s="101"/>
      <c r="F22" s="100"/>
      <c r="G22" s="181"/>
      <c r="I22" s="145"/>
    </row>
    <row r="23" spans="1:10" ht="14.25">
      <c r="A23" s="171" t="s">
        <v>94</v>
      </c>
      <c r="B23" s="170"/>
      <c r="C23" s="170"/>
      <c r="D23" s="100"/>
      <c r="E23" s="101"/>
      <c r="F23" s="100"/>
      <c r="G23" s="181"/>
      <c r="I23" s="142"/>
      <c r="J23" s="145"/>
    </row>
    <row r="24" spans="1:7" ht="14.25">
      <c r="A24" s="100"/>
      <c r="B24" s="100"/>
      <c r="C24" s="100"/>
      <c r="D24" s="100"/>
      <c r="E24" s="101"/>
      <c r="F24" s="100"/>
      <c r="G24" s="181"/>
    </row>
    <row r="25" spans="1:9" ht="15">
      <c r="A25" s="109" t="s">
        <v>155</v>
      </c>
      <c r="B25" s="100"/>
      <c r="C25" s="100"/>
      <c r="D25" s="100"/>
      <c r="E25" s="101"/>
      <c r="F25" s="110">
        <f>SUM(E26:E29)</f>
        <v>505753991</v>
      </c>
      <c r="G25" s="181"/>
      <c r="I25" s="144"/>
    </row>
    <row r="26" spans="1:7" ht="14.25">
      <c r="A26" s="100" t="s">
        <v>130</v>
      </c>
      <c r="B26" s="100"/>
      <c r="C26" s="100"/>
      <c r="D26" s="100"/>
      <c r="E26" s="111">
        <v>303418465</v>
      </c>
      <c r="F26" s="100"/>
      <c r="G26" s="184"/>
    </row>
    <row r="27" spans="1:7" ht="14.25">
      <c r="A27" s="100" t="s">
        <v>97</v>
      </c>
      <c r="B27" s="100"/>
      <c r="C27" s="100"/>
      <c r="D27" s="100"/>
      <c r="E27" s="111">
        <v>84092377</v>
      </c>
      <c r="F27" s="100"/>
      <c r="G27" s="184"/>
    </row>
    <row r="28" spans="1:7" ht="14.25">
      <c r="A28" s="100" t="s">
        <v>98</v>
      </c>
      <c r="B28" s="100"/>
      <c r="C28" s="100"/>
      <c r="D28" s="100"/>
      <c r="E28" s="111">
        <v>97779531</v>
      </c>
      <c r="F28" s="100"/>
      <c r="G28" s="184"/>
    </row>
    <row r="29" spans="1:9" ht="14.25">
      <c r="A29" s="100" t="s">
        <v>99</v>
      </c>
      <c r="B29" s="100"/>
      <c r="C29" s="100"/>
      <c r="D29" s="100"/>
      <c r="E29" s="111">
        <v>20463618</v>
      </c>
      <c r="F29" s="100"/>
      <c r="G29" s="184"/>
      <c r="I29" s="143"/>
    </row>
    <row r="30" spans="1:7" ht="14.25">
      <c r="A30" s="100"/>
      <c r="B30" s="100"/>
      <c r="C30" s="100"/>
      <c r="D30" s="100"/>
      <c r="E30" s="100"/>
      <c r="F30" s="100"/>
      <c r="G30" s="184"/>
    </row>
    <row r="31" spans="1:7" ht="15">
      <c r="A31" s="109" t="s">
        <v>112</v>
      </c>
      <c r="B31" s="100"/>
      <c r="C31" s="100"/>
      <c r="D31" s="100"/>
      <c r="E31" s="100"/>
      <c r="F31" s="110">
        <f>SUM(E33:E35)</f>
        <v>269880855</v>
      </c>
      <c r="G31" s="181"/>
    </row>
    <row r="32" spans="1:7" ht="15" customHeight="1" hidden="1">
      <c r="A32" s="112"/>
      <c r="B32" s="100"/>
      <c r="C32" s="100"/>
      <c r="D32" s="100"/>
      <c r="E32" s="100"/>
      <c r="F32" s="110"/>
      <c r="G32" s="184"/>
    </row>
    <row r="33" spans="1:7" ht="14.25">
      <c r="A33" s="100" t="s">
        <v>95</v>
      </c>
      <c r="B33" s="100"/>
      <c r="C33" s="100"/>
      <c r="D33" s="100"/>
      <c r="E33" s="111">
        <f>154465219</f>
        <v>154465219</v>
      </c>
      <c r="F33" s="100"/>
      <c r="G33" s="184"/>
    </row>
    <row r="34" spans="1:7" ht="14.25">
      <c r="A34" s="100" t="s">
        <v>96</v>
      </c>
      <c r="B34" s="100"/>
      <c r="C34" s="100"/>
      <c r="D34" s="100"/>
      <c r="E34" s="111">
        <v>4200679</v>
      </c>
      <c r="F34" s="100"/>
      <c r="G34" s="184"/>
    </row>
    <row r="35" spans="1:7" ht="14.25">
      <c r="A35" s="100" t="s">
        <v>68</v>
      </c>
      <c r="B35" s="100"/>
      <c r="C35" s="100"/>
      <c r="D35" s="100"/>
      <c r="E35" s="282">
        <v>111214957</v>
      </c>
      <c r="F35" s="100"/>
      <c r="G35" s="184"/>
    </row>
    <row r="36" spans="1:7" ht="14.25">
      <c r="A36" s="100"/>
      <c r="B36" s="100"/>
      <c r="C36" s="100"/>
      <c r="D36" s="100"/>
      <c r="E36" s="100"/>
      <c r="F36" s="100"/>
      <c r="G36" s="184"/>
    </row>
    <row r="37" spans="1:7" ht="15" thickBot="1">
      <c r="A37" s="228" t="s">
        <v>156</v>
      </c>
      <c r="B37" s="228"/>
      <c r="C37" s="228"/>
      <c r="D37" s="228"/>
      <c r="E37" s="228"/>
      <c r="F37" s="229"/>
      <c r="G37" s="231">
        <v>775634846</v>
      </c>
    </row>
    <row r="38" spans="1:9" ht="15" thickTop="1">
      <c r="A38" s="100"/>
      <c r="B38" s="100"/>
      <c r="C38" s="100"/>
      <c r="D38" s="100"/>
      <c r="E38" s="101"/>
      <c r="F38" s="100"/>
      <c r="G38" s="181"/>
      <c r="I38" s="120"/>
    </row>
    <row r="39" spans="1:9" ht="14.25">
      <c r="A39" s="100"/>
      <c r="B39" s="100"/>
      <c r="C39" s="100"/>
      <c r="D39" s="100"/>
      <c r="E39" s="101"/>
      <c r="F39" s="100"/>
      <c r="G39" s="181"/>
      <c r="I39" s="144"/>
    </row>
    <row r="40" spans="1:7" ht="15" thickBot="1">
      <c r="A40" s="232" t="s">
        <v>157</v>
      </c>
      <c r="B40" s="233"/>
      <c r="C40" s="233"/>
      <c r="D40" s="233"/>
      <c r="E40" s="234"/>
      <c r="F40" s="233"/>
      <c r="G40" s="286">
        <v>-19078460</v>
      </c>
    </row>
    <row r="41" spans="1:7" ht="15" thickTop="1">
      <c r="A41" s="100"/>
      <c r="B41" s="100" t="s">
        <v>137</v>
      </c>
      <c r="C41" s="100"/>
      <c r="D41" s="100"/>
      <c r="E41" s="101"/>
      <c r="F41" s="100"/>
      <c r="G41" s="180" t="s">
        <v>137</v>
      </c>
    </row>
    <row r="42" spans="1:7" ht="15" thickBot="1">
      <c r="A42" s="228" t="s">
        <v>164</v>
      </c>
      <c r="B42" s="228"/>
      <c r="C42" s="228"/>
      <c r="D42" s="228"/>
      <c r="E42" s="228"/>
      <c r="F42" s="229"/>
      <c r="G42" s="231">
        <v>3709411</v>
      </c>
    </row>
    <row r="43" spans="1:7" ht="15" thickTop="1">
      <c r="A43" s="100"/>
      <c r="B43" s="100" t="s">
        <v>137</v>
      </c>
      <c r="C43" s="100"/>
      <c r="D43" s="100"/>
      <c r="E43" s="101"/>
      <c r="F43" s="100"/>
      <c r="G43" s="185"/>
    </row>
    <row r="44" spans="1:7" ht="14.25">
      <c r="A44" s="100" t="s">
        <v>48</v>
      </c>
      <c r="B44" s="100"/>
      <c r="C44" s="100"/>
      <c r="D44" s="100"/>
      <c r="E44" s="106">
        <v>2649859</v>
      </c>
      <c r="F44" s="100"/>
      <c r="G44" s="181"/>
    </row>
    <row r="45" spans="1:7" ht="14.25">
      <c r="A45" s="100" t="s">
        <v>125</v>
      </c>
      <c r="B45" s="100"/>
      <c r="C45" s="100"/>
      <c r="D45" s="100"/>
      <c r="E45" s="106">
        <v>658508</v>
      </c>
      <c r="F45" s="100"/>
      <c r="G45" s="181"/>
    </row>
    <row r="46" spans="1:7" ht="14.25">
      <c r="A46" s="100" t="s">
        <v>66</v>
      </c>
      <c r="B46" s="100"/>
      <c r="C46" s="100"/>
      <c r="D46" s="100"/>
      <c r="E46" s="106">
        <v>401043</v>
      </c>
      <c r="F46" s="100"/>
      <c r="G46" s="181"/>
    </row>
    <row r="47" spans="1:7" ht="15.75" customHeight="1" hidden="1" thickBot="1">
      <c r="A47" s="100" t="s">
        <v>159</v>
      </c>
      <c r="B47" s="100"/>
      <c r="C47" s="100"/>
      <c r="D47" s="100"/>
      <c r="E47" s="113">
        <v>0</v>
      </c>
      <c r="F47" s="100"/>
      <c r="G47" s="185"/>
    </row>
    <row r="48" spans="1:7" ht="15" customHeight="1" hidden="1">
      <c r="A48" s="100" t="s">
        <v>160</v>
      </c>
      <c r="B48" s="100"/>
      <c r="C48" s="100"/>
      <c r="D48" s="114">
        <v>0</v>
      </c>
      <c r="E48" s="101"/>
      <c r="F48" s="100"/>
      <c r="G48" s="181"/>
    </row>
    <row r="49" spans="1:7" ht="15" customHeight="1" hidden="1">
      <c r="A49" s="100" t="s">
        <v>162</v>
      </c>
      <c r="B49" s="100"/>
      <c r="C49" s="100"/>
      <c r="D49" s="114">
        <v>0</v>
      </c>
      <c r="E49" s="101"/>
      <c r="F49" s="100"/>
      <c r="G49" s="181"/>
    </row>
    <row r="50" spans="1:7" ht="15.75" customHeight="1" hidden="1" thickBot="1">
      <c r="A50" s="100" t="s">
        <v>161</v>
      </c>
      <c r="B50" s="100"/>
      <c r="C50" s="100"/>
      <c r="D50" s="115">
        <v>0</v>
      </c>
      <c r="E50" s="116"/>
      <c r="F50" s="100"/>
      <c r="G50" s="181"/>
    </row>
    <row r="51" spans="1:7" ht="14.25">
      <c r="A51" s="100"/>
      <c r="B51" s="100"/>
      <c r="C51" s="100"/>
      <c r="D51" s="117"/>
      <c r="E51" s="116"/>
      <c r="F51" s="100"/>
      <c r="G51" s="181"/>
    </row>
    <row r="52" spans="1:7" ht="15" thickBot="1">
      <c r="A52" s="235" t="s">
        <v>174</v>
      </c>
      <c r="B52" s="235"/>
      <c r="C52" s="235"/>
      <c r="D52" s="235"/>
      <c r="E52" s="235"/>
      <c r="F52" s="236"/>
      <c r="G52" s="286">
        <v>-15369049</v>
      </c>
    </row>
    <row r="53" spans="1:7" ht="15.75" customHeight="1" hidden="1" thickTop="1">
      <c r="A53" s="100"/>
      <c r="B53" s="100"/>
      <c r="C53" s="100"/>
      <c r="D53" s="100"/>
      <c r="E53" s="101"/>
      <c r="F53" s="100"/>
      <c r="G53" s="181"/>
    </row>
    <row r="54" spans="1:7" ht="15" thickTop="1">
      <c r="A54" s="100" t="s">
        <v>171</v>
      </c>
      <c r="B54" s="100"/>
      <c r="C54" s="100"/>
      <c r="D54" s="100"/>
      <c r="E54" s="101" t="s">
        <v>137</v>
      </c>
      <c r="F54" s="100"/>
      <c r="G54" s="181"/>
    </row>
    <row r="55" spans="1:7" ht="15" thickBot="1">
      <c r="A55" s="228" t="s">
        <v>170</v>
      </c>
      <c r="B55" s="228"/>
      <c r="C55" s="228"/>
      <c r="D55" s="228"/>
      <c r="E55" s="228"/>
      <c r="F55" s="229"/>
      <c r="G55" s="231">
        <v>54168083</v>
      </c>
    </row>
    <row r="56" spans="1:7" ht="15" thickTop="1">
      <c r="A56" s="100"/>
      <c r="B56" s="100"/>
      <c r="C56" s="100"/>
      <c r="D56" s="100"/>
      <c r="E56" s="101"/>
      <c r="F56" s="100"/>
      <c r="G56" s="181"/>
    </row>
    <row r="57" spans="1:7" ht="15" customHeight="1" hidden="1">
      <c r="A57" s="112" t="s">
        <v>186</v>
      </c>
      <c r="B57" s="100"/>
      <c r="C57" s="100"/>
      <c r="D57" s="100"/>
      <c r="E57" s="101"/>
      <c r="F57" s="100"/>
      <c r="G57" s="181"/>
    </row>
    <row r="58" spans="1:8" ht="15.75" customHeight="1" hidden="1">
      <c r="A58" s="112" t="s">
        <v>185</v>
      </c>
      <c r="B58" s="100"/>
      <c r="C58" s="100"/>
      <c r="D58" s="107"/>
      <c r="E58" s="118">
        <v>0</v>
      </c>
      <c r="F58" s="100"/>
      <c r="G58" s="181"/>
      <c r="H58" s="98"/>
    </row>
    <row r="59" spans="1:8" ht="15.75" customHeight="1" hidden="1">
      <c r="A59" s="112"/>
      <c r="B59" s="100"/>
      <c r="C59" s="100"/>
      <c r="D59" s="107"/>
      <c r="E59" s="118"/>
      <c r="F59" s="100"/>
      <c r="G59" s="181"/>
      <c r="H59" s="98"/>
    </row>
    <row r="60" spans="1:8" ht="15.75" customHeight="1" hidden="1">
      <c r="A60" s="112"/>
      <c r="B60" s="100"/>
      <c r="C60" s="100"/>
      <c r="D60" s="107">
        <v>0</v>
      </c>
      <c r="E60" s="118"/>
      <c r="F60" s="100"/>
      <c r="G60" s="181"/>
      <c r="H60" s="98"/>
    </row>
    <row r="61" spans="1:8" ht="15.75" customHeight="1" hidden="1">
      <c r="A61" s="112"/>
      <c r="B61" s="100"/>
      <c r="C61" s="100"/>
      <c r="D61" s="107">
        <v>0</v>
      </c>
      <c r="E61" s="118"/>
      <c r="F61" s="100"/>
      <c r="G61" s="181"/>
      <c r="H61" s="98"/>
    </row>
    <row r="62" spans="1:7" ht="15" customHeight="1" hidden="1">
      <c r="A62" s="100"/>
      <c r="B62" s="100"/>
      <c r="C62" s="100"/>
      <c r="D62" s="118">
        <v>0</v>
      </c>
      <c r="E62" s="108"/>
      <c r="F62" s="100"/>
      <c r="G62" s="181"/>
    </row>
    <row r="63" spans="1:10" ht="14.25">
      <c r="A63" s="112" t="s">
        <v>183</v>
      </c>
      <c r="B63" s="100"/>
      <c r="C63" s="100"/>
      <c r="D63" s="107"/>
      <c r="E63" s="141">
        <f>SUM(D64:D73)</f>
        <v>59461684</v>
      </c>
      <c r="F63" s="100"/>
      <c r="G63" s="181"/>
      <c r="J63" s="308"/>
    </row>
    <row r="64" spans="1:7" ht="14.25">
      <c r="A64" s="82" t="s">
        <v>138</v>
      </c>
      <c r="D64" s="92">
        <v>56915</v>
      </c>
      <c r="G64" s="186"/>
    </row>
    <row r="65" spans="1:7" ht="14.25">
      <c r="A65" s="82" t="s">
        <v>139</v>
      </c>
      <c r="D65" s="122">
        <v>58936332</v>
      </c>
      <c r="G65" s="186"/>
    </row>
    <row r="66" spans="1:7" ht="14.25" hidden="1">
      <c r="A66" s="82" t="s">
        <v>233</v>
      </c>
      <c r="D66" s="121"/>
      <c r="E66" s="92"/>
      <c r="G66" s="186"/>
    </row>
    <row r="67" spans="1:7" ht="14.25">
      <c r="A67" s="82" t="s">
        <v>146</v>
      </c>
      <c r="D67" s="121">
        <v>442823</v>
      </c>
      <c r="G67" s="186"/>
    </row>
    <row r="68" spans="1:7" ht="14.25" hidden="1">
      <c r="A68" s="82" t="s">
        <v>132</v>
      </c>
      <c r="D68" s="121"/>
      <c r="G68" s="186"/>
    </row>
    <row r="69" spans="1:7" ht="14.25" hidden="1">
      <c r="A69" s="82" t="s">
        <v>140</v>
      </c>
      <c r="D69" s="121"/>
      <c r="G69" s="186"/>
    </row>
    <row r="70" spans="1:7" ht="14.25" hidden="1">
      <c r="A70" s="82" t="s">
        <v>181</v>
      </c>
      <c r="D70" s="122"/>
      <c r="E70" s="82"/>
      <c r="G70" s="186"/>
    </row>
    <row r="71" spans="1:7" ht="14.25" hidden="1">
      <c r="A71" s="82" t="s">
        <v>143</v>
      </c>
      <c r="D71" s="122"/>
      <c r="G71" s="186"/>
    </row>
    <row r="72" spans="1:7" ht="14.25">
      <c r="A72" s="82" t="s">
        <v>141</v>
      </c>
      <c r="D72" s="122">
        <v>25614</v>
      </c>
      <c r="G72" s="186"/>
    </row>
    <row r="73" spans="1:7" ht="14.25" hidden="1">
      <c r="A73" s="82" t="s">
        <v>258</v>
      </c>
      <c r="D73" s="121"/>
      <c r="G73" s="186"/>
    </row>
    <row r="74" spans="1:10" ht="14.25">
      <c r="A74" s="100" t="s">
        <v>173</v>
      </c>
      <c r="B74" s="100"/>
      <c r="C74" s="100"/>
      <c r="D74" s="121"/>
      <c r="E74" s="108"/>
      <c r="F74" s="100"/>
      <c r="G74" s="181"/>
      <c r="H74" s="98"/>
      <c r="J74" s="309"/>
    </row>
    <row r="75" spans="1:10" ht="14.25">
      <c r="A75" s="112" t="s">
        <v>184</v>
      </c>
      <c r="B75" s="100"/>
      <c r="C75" s="100"/>
      <c r="D75" s="88"/>
      <c r="E75" s="140">
        <f>SUM(D76:D85)</f>
        <v>5293601</v>
      </c>
      <c r="F75" s="100"/>
      <c r="G75" s="181"/>
      <c r="H75" s="99"/>
      <c r="J75" s="308"/>
    </row>
    <row r="76" spans="1:10" ht="13.5" customHeight="1" hidden="1">
      <c r="A76" s="82" t="s">
        <v>138</v>
      </c>
      <c r="B76" s="100"/>
      <c r="C76" s="100"/>
      <c r="D76" s="122"/>
      <c r="E76" s="119"/>
      <c r="F76" s="100"/>
      <c r="G76" s="181"/>
      <c r="J76" s="308"/>
    </row>
    <row r="77" spans="1:10" ht="13.5" customHeight="1" hidden="1">
      <c r="A77" s="82" t="s">
        <v>139</v>
      </c>
      <c r="B77" s="100"/>
      <c r="C77" s="100"/>
      <c r="D77" s="121"/>
      <c r="E77" s="119"/>
      <c r="F77" s="100"/>
      <c r="G77" s="181"/>
      <c r="J77" s="308"/>
    </row>
    <row r="78" spans="1:10" ht="14.25">
      <c r="A78" s="82" t="s">
        <v>233</v>
      </c>
      <c r="B78" s="100"/>
      <c r="C78" s="100"/>
      <c r="D78" s="122">
        <v>19252</v>
      </c>
      <c r="E78" s="107"/>
      <c r="F78" s="100"/>
      <c r="G78" s="185"/>
      <c r="J78" s="308"/>
    </row>
    <row r="79" spans="1:10" ht="14.25" hidden="1">
      <c r="A79" s="82" t="s">
        <v>146</v>
      </c>
      <c r="B79" s="100"/>
      <c r="C79" s="100"/>
      <c r="D79" s="121"/>
      <c r="E79" s="108"/>
      <c r="F79" s="100"/>
      <c r="G79" s="181"/>
      <c r="J79" s="308"/>
    </row>
    <row r="80" spans="1:10" ht="14.25">
      <c r="A80" s="82" t="s">
        <v>132</v>
      </c>
      <c r="B80" s="100"/>
      <c r="C80" s="100"/>
      <c r="D80" s="122">
        <v>230404</v>
      </c>
      <c r="E80" s="108"/>
      <c r="F80" s="100"/>
      <c r="G80" s="181"/>
      <c r="J80" s="308"/>
    </row>
    <row r="81" spans="1:10" ht="14.25">
      <c r="A81" s="82" t="s">
        <v>140</v>
      </c>
      <c r="B81" s="100"/>
      <c r="C81" s="100"/>
      <c r="D81" s="122">
        <v>3322249</v>
      </c>
      <c r="E81" s="108"/>
      <c r="F81" s="100"/>
      <c r="G81" s="181"/>
      <c r="J81" s="308"/>
    </row>
    <row r="82" spans="1:10" ht="14.25">
      <c r="A82" s="82" t="s">
        <v>181</v>
      </c>
      <c r="B82" s="100"/>
      <c r="C82" s="100"/>
      <c r="D82" s="122">
        <v>1050130</v>
      </c>
      <c r="E82" s="108"/>
      <c r="F82" s="100"/>
      <c r="G82" s="181"/>
      <c r="J82" s="308"/>
    </row>
    <row r="83" spans="1:10" ht="14.25">
      <c r="A83" s="82" t="s">
        <v>143</v>
      </c>
      <c r="B83" s="100"/>
      <c r="C83" s="100"/>
      <c r="D83" s="122">
        <v>671566</v>
      </c>
      <c r="E83" s="108"/>
      <c r="F83" s="100"/>
      <c r="G83" s="181"/>
      <c r="J83" s="308"/>
    </row>
    <row r="84" spans="1:7" ht="15" customHeight="1" hidden="1">
      <c r="A84" s="82" t="s">
        <v>141</v>
      </c>
      <c r="B84" s="100"/>
      <c r="C84" s="100"/>
      <c r="D84" s="119"/>
      <c r="E84" s="108"/>
      <c r="F84" s="100"/>
      <c r="G84" s="181"/>
    </row>
    <row r="85" spans="1:7" ht="14.25">
      <c r="A85" s="100"/>
      <c r="B85" s="100"/>
      <c r="C85" s="100"/>
      <c r="D85" s="119"/>
      <c r="E85" s="108"/>
      <c r="F85" s="100"/>
      <c r="G85" s="181"/>
    </row>
    <row r="86" spans="1:7" ht="15" customHeight="1" hidden="1">
      <c r="A86" s="100"/>
      <c r="B86" s="100"/>
      <c r="C86" s="100"/>
      <c r="D86" s="119"/>
      <c r="E86" s="108"/>
      <c r="F86" s="100"/>
      <c r="G86" s="181"/>
    </row>
    <row r="87" spans="1:9" ht="15" customHeight="1" hidden="1">
      <c r="A87" s="95" t="s">
        <v>190</v>
      </c>
      <c r="D87" s="92"/>
      <c r="E87" s="91">
        <v>0</v>
      </c>
      <c r="G87" s="186"/>
      <c r="I87" s="99"/>
    </row>
    <row r="88" spans="1:7" ht="15" customHeight="1" hidden="1">
      <c r="A88" s="100"/>
      <c r="B88" s="100"/>
      <c r="C88" s="100"/>
      <c r="D88" s="119"/>
      <c r="E88" s="108"/>
      <c r="F88" s="100"/>
      <c r="G88" s="181"/>
    </row>
    <row r="89" spans="1:7" ht="14.25">
      <c r="A89" s="100"/>
      <c r="B89" s="100"/>
      <c r="C89" s="100"/>
      <c r="D89" s="119"/>
      <c r="E89" s="108"/>
      <c r="F89" s="100"/>
      <c r="G89" s="181"/>
    </row>
    <row r="90" spans="1:7" ht="15" thickBot="1">
      <c r="A90" s="228" t="s">
        <v>120</v>
      </c>
      <c r="B90" s="228"/>
      <c r="C90" s="228"/>
      <c r="D90" s="228"/>
      <c r="E90" s="228"/>
      <c r="F90" s="229"/>
      <c r="G90" s="231">
        <v>38799038</v>
      </c>
    </row>
    <row r="91" ht="15" thickTop="1"/>
    <row r="1496" ht="14.25">
      <c r="B1496" s="82" t="s">
        <v>137</v>
      </c>
    </row>
    <row r="1729" ht="14.25">
      <c r="B1729" s="82" t="s">
        <v>137</v>
      </c>
    </row>
  </sheetData>
  <sheetProtection/>
  <mergeCells count="3">
    <mergeCell ref="A1:G1"/>
    <mergeCell ref="A2:G2"/>
    <mergeCell ref="A3:G3"/>
  </mergeCells>
  <printOptions/>
  <pageMargins left="1.08" right="0.25" top="0.24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2012-06-18T17:24:28Z</cp:lastPrinted>
  <dcterms:created xsi:type="dcterms:W3CDTF">2000-03-14T16:50:30Z</dcterms:created>
  <dcterms:modified xsi:type="dcterms:W3CDTF">2012-11-14T20:19:13Z</dcterms:modified>
  <cp:category/>
  <cp:version/>
  <cp:contentType/>
  <cp:contentStatus/>
</cp:coreProperties>
</file>