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PLANTILLA 2017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E143" i="1" l="1"/>
  <c r="AE139" i="1"/>
  <c r="AE141" i="1" s="1"/>
  <c r="AI138" i="1"/>
  <c r="AI139" i="1" s="1"/>
  <c r="AI141" i="1" s="1"/>
  <c r="AI143" i="1" s="1"/>
  <c r="BE131" i="1"/>
  <c r="BG130" i="1"/>
  <c r="AT130" i="1"/>
  <c r="BC130" i="1" s="1"/>
  <c r="AP130" i="1"/>
  <c r="AF130" i="1"/>
  <c r="AB130" i="1"/>
  <c r="BK129" i="1"/>
  <c r="BG129" i="1"/>
  <c r="AT129" i="1"/>
  <c r="BC129" i="1" s="1"/>
  <c r="AP129" i="1"/>
  <c r="AQ129" i="1" s="1"/>
  <c r="AR129" i="1" s="1"/>
  <c r="AF129" i="1"/>
  <c r="AB129" i="1"/>
  <c r="BG128" i="1"/>
  <c r="AT128" i="1"/>
  <c r="AQ128" i="1"/>
  <c r="AR128" i="1" s="1"/>
  <c r="AV128" i="1" s="1"/>
  <c r="AP128" i="1"/>
  <c r="BH128" i="1" s="1"/>
  <c r="AF128" i="1"/>
  <c r="AB128" i="1"/>
  <c r="BG127" i="1"/>
  <c r="AT127" i="1"/>
  <c r="BK127" i="1" s="1"/>
  <c r="AP127" i="1"/>
  <c r="AQ127" i="1" s="1"/>
  <c r="AR127" i="1" s="1"/>
  <c r="AV127" i="1" s="1"/>
  <c r="AF127" i="1"/>
  <c r="AB127" i="1"/>
  <c r="BE125" i="1"/>
  <c r="BG124" i="1"/>
  <c r="AT124" i="1"/>
  <c r="BK124" i="1" s="1"/>
  <c r="AP124" i="1"/>
  <c r="AF124" i="1"/>
  <c r="AB124" i="1"/>
  <c r="BG123" i="1"/>
  <c r="AT123" i="1"/>
  <c r="BC123" i="1" s="1"/>
  <c r="AP123" i="1"/>
  <c r="AF123" i="1"/>
  <c r="AB123" i="1"/>
  <c r="BG122" i="1"/>
  <c r="AT122" i="1"/>
  <c r="AP122" i="1"/>
  <c r="AF122" i="1"/>
  <c r="AB122" i="1"/>
  <c r="BG121" i="1"/>
  <c r="AT121" i="1"/>
  <c r="AP121" i="1"/>
  <c r="AQ121" i="1" s="1"/>
  <c r="AR121" i="1" s="1"/>
  <c r="AF121" i="1"/>
  <c r="AB121" i="1"/>
  <c r="BG120" i="1"/>
  <c r="AT120" i="1"/>
  <c r="BC120" i="1" s="1"/>
  <c r="AP120" i="1"/>
  <c r="AQ120" i="1" s="1"/>
  <c r="AR120" i="1" s="1"/>
  <c r="AF120" i="1"/>
  <c r="AB120" i="1"/>
  <c r="BE118" i="1"/>
  <c r="BG117" i="1"/>
  <c r="AT117" i="1"/>
  <c r="BC117" i="1" s="1"/>
  <c r="AP117" i="1"/>
  <c r="BH117" i="1" s="1"/>
  <c r="AF117" i="1"/>
  <c r="AB117" i="1"/>
  <c r="BG116" i="1"/>
  <c r="AT116" i="1"/>
  <c r="AP116" i="1"/>
  <c r="BH116" i="1" s="1"/>
  <c r="AF116" i="1"/>
  <c r="AB116" i="1"/>
  <c r="BG115" i="1"/>
  <c r="AT115" i="1"/>
  <c r="AP115" i="1"/>
  <c r="BH115" i="1" s="1"/>
  <c r="AF115" i="1"/>
  <c r="AB115" i="1"/>
  <c r="BG114" i="1"/>
  <c r="AT114" i="1"/>
  <c r="BK114" i="1" s="1"/>
  <c r="AP114" i="1"/>
  <c r="AF114" i="1"/>
  <c r="AB114" i="1"/>
  <c r="BE112" i="1"/>
  <c r="BG111" i="1"/>
  <c r="AT111" i="1"/>
  <c r="BC111" i="1" s="1"/>
  <c r="AP111" i="1"/>
  <c r="BH111" i="1" s="1"/>
  <c r="BI111" i="1" s="1"/>
  <c r="AF111" i="1"/>
  <c r="AB111" i="1"/>
  <c r="BG110" i="1"/>
  <c r="AT110" i="1"/>
  <c r="AP110" i="1"/>
  <c r="AF110" i="1"/>
  <c r="AB110" i="1"/>
  <c r="BG109" i="1"/>
  <c r="AT109" i="1"/>
  <c r="BC109" i="1" s="1"/>
  <c r="AP109" i="1"/>
  <c r="BH109" i="1" s="1"/>
  <c r="AF109" i="1"/>
  <c r="AB109" i="1"/>
  <c r="BG108" i="1"/>
  <c r="AT108" i="1"/>
  <c r="BK108" i="1" s="1"/>
  <c r="AP108" i="1"/>
  <c r="AQ108" i="1" s="1"/>
  <c r="AR108" i="1" s="1"/>
  <c r="AF108" i="1"/>
  <c r="AB108" i="1"/>
  <c r="BK107" i="1"/>
  <c r="BG107" i="1"/>
  <c r="AT107" i="1"/>
  <c r="BC107" i="1" s="1"/>
  <c r="AP107" i="1"/>
  <c r="AF107" i="1"/>
  <c r="AB107" i="1"/>
  <c r="BG106" i="1"/>
  <c r="AT106" i="1"/>
  <c r="BK106" i="1" s="1"/>
  <c r="AP106" i="1"/>
  <c r="BH106" i="1" s="1"/>
  <c r="AF106" i="1"/>
  <c r="AB106" i="1"/>
  <c r="BE104" i="1"/>
  <c r="BG103" i="1"/>
  <c r="AT103" i="1"/>
  <c r="BC103" i="1" s="1"/>
  <c r="AP103" i="1"/>
  <c r="AQ103" i="1" s="1"/>
  <c r="AR103" i="1" s="1"/>
  <c r="AS103" i="1" s="1"/>
  <c r="AF103" i="1"/>
  <c r="AB103" i="1"/>
  <c r="BG102" i="1"/>
  <c r="AT102" i="1"/>
  <c r="AP102" i="1"/>
  <c r="AQ102" i="1" s="1"/>
  <c r="AR102" i="1" s="1"/>
  <c r="AS102" i="1" s="1"/>
  <c r="AF102" i="1"/>
  <c r="AB102" i="1"/>
  <c r="BG101" i="1"/>
  <c r="AT101" i="1"/>
  <c r="BC101" i="1" s="1"/>
  <c r="AP101" i="1"/>
  <c r="AN101" i="1"/>
  <c r="AF101" i="1"/>
  <c r="AB101" i="1"/>
  <c r="BG100" i="1"/>
  <c r="AT100" i="1"/>
  <c r="AP100" i="1"/>
  <c r="AQ100" i="1" s="1"/>
  <c r="AR100" i="1" s="1"/>
  <c r="AF100" i="1"/>
  <c r="AB100" i="1"/>
  <c r="BG99" i="1"/>
  <c r="AT99" i="1"/>
  <c r="BC99" i="1" s="1"/>
  <c r="AP99" i="1"/>
  <c r="AQ99" i="1" s="1"/>
  <c r="AR99" i="1" s="1"/>
  <c r="AV99" i="1" s="1"/>
  <c r="AF99" i="1"/>
  <c r="AB99" i="1"/>
  <c r="BE97" i="1"/>
  <c r="BG96" i="1"/>
  <c r="AT96" i="1"/>
  <c r="BK96" i="1" s="1"/>
  <c r="AP96" i="1"/>
  <c r="AF96" i="1"/>
  <c r="AB96" i="1"/>
  <c r="BK95" i="1"/>
  <c r="BG95" i="1"/>
  <c r="AT95" i="1"/>
  <c r="BC95" i="1" s="1"/>
  <c r="AP95" i="1"/>
  <c r="AN95" i="1"/>
  <c r="AF95" i="1"/>
  <c r="AB95" i="1"/>
  <c r="BG94" i="1"/>
  <c r="AT94" i="1"/>
  <c r="BC94" i="1" s="1"/>
  <c r="AP94" i="1"/>
  <c r="AQ94" i="1" s="1"/>
  <c r="AR94" i="1" s="1"/>
  <c r="AV94" i="1" s="1"/>
  <c r="AF94" i="1"/>
  <c r="AB94" i="1"/>
  <c r="BG93" i="1"/>
  <c r="AT93" i="1"/>
  <c r="BC93" i="1" s="1"/>
  <c r="AQ93" i="1"/>
  <c r="AR93" i="1" s="1"/>
  <c r="AP93" i="1"/>
  <c r="BH93" i="1" s="1"/>
  <c r="AF93" i="1"/>
  <c r="AB93" i="1"/>
  <c r="BG92" i="1"/>
  <c r="AT92" i="1"/>
  <c r="BC92" i="1" s="1"/>
  <c r="AP92" i="1"/>
  <c r="AQ92" i="1" s="1"/>
  <c r="AR92" i="1" s="1"/>
  <c r="AV92" i="1" s="1"/>
  <c r="AF92" i="1"/>
  <c r="AB92" i="1"/>
  <c r="BE90" i="1"/>
  <c r="BG89" i="1"/>
  <c r="BI89" i="1" s="1"/>
  <c r="AT89" i="1"/>
  <c r="BC89" i="1" s="1"/>
  <c r="AP89" i="1"/>
  <c r="BH89" i="1" s="1"/>
  <c r="AF89" i="1"/>
  <c r="AB89" i="1"/>
  <c r="BG88" i="1"/>
  <c r="AT88" i="1"/>
  <c r="AP88" i="1"/>
  <c r="AF88" i="1"/>
  <c r="AB88" i="1"/>
  <c r="BG87" i="1"/>
  <c r="AT87" i="1"/>
  <c r="BC87" i="1" s="1"/>
  <c r="AP87" i="1"/>
  <c r="BH87" i="1" s="1"/>
  <c r="AF87" i="1"/>
  <c r="AB87" i="1"/>
  <c r="BG86" i="1"/>
  <c r="AT86" i="1"/>
  <c r="AP86" i="1"/>
  <c r="AQ86" i="1" s="1"/>
  <c r="AR86" i="1" s="1"/>
  <c r="AF86" i="1"/>
  <c r="AB86" i="1"/>
  <c r="BE84" i="1"/>
  <c r="BG83" i="1"/>
  <c r="AT83" i="1"/>
  <c r="AP83" i="1"/>
  <c r="BH83" i="1" s="1"/>
  <c r="AF83" i="1"/>
  <c r="AB83" i="1"/>
  <c r="BG82" i="1"/>
  <c r="AT82" i="1"/>
  <c r="AP82" i="1"/>
  <c r="BH82" i="1" s="1"/>
  <c r="AF82" i="1"/>
  <c r="AB82" i="1"/>
  <c r="BH81" i="1"/>
  <c r="BG81" i="1"/>
  <c r="AT81" i="1"/>
  <c r="AN81" i="1" s="1"/>
  <c r="AP81" i="1"/>
  <c r="AF81" i="1"/>
  <c r="AB81" i="1"/>
  <c r="BG80" i="1"/>
  <c r="AT80" i="1"/>
  <c r="AP80" i="1"/>
  <c r="BH80" i="1" s="1"/>
  <c r="AF80" i="1"/>
  <c r="AB80" i="1"/>
  <c r="BE79" i="1"/>
  <c r="BE78" i="1"/>
  <c r="BG77" i="1"/>
  <c r="AT77" i="1"/>
  <c r="AP77" i="1"/>
  <c r="AF77" i="1"/>
  <c r="AB77" i="1"/>
  <c r="BG76" i="1"/>
  <c r="AT76" i="1"/>
  <c r="BK76" i="1" s="1"/>
  <c r="AP76" i="1"/>
  <c r="AN76" i="1"/>
  <c r="AF76" i="1"/>
  <c r="AB76" i="1"/>
  <c r="BG75" i="1"/>
  <c r="AT75" i="1"/>
  <c r="AP75" i="1"/>
  <c r="AF75" i="1"/>
  <c r="AB75" i="1"/>
  <c r="BK74" i="1"/>
  <c r="BG74" i="1"/>
  <c r="AT74" i="1"/>
  <c r="BC74" i="1" s="1"/>
  <c r="AP74" i="1"/>
  <c r="AN74" i="1"/>
  <c r="AF74" i="1"/>
  <c r="AB74" i="1"/>
  <c r="BG73" i="1"/>
  <c r="AT73" i="1"/>
  <c r="AP73" i="1"/>
  <c r="AF73" i="1"/>
  <c r="AB73" i="1"/>
  <c r="BK72" i="1"/>
  <c r="BG72" i="1"/>
  <c r="AT72" i="1"/>
  <c r="AN72" i="1" s="1"/>
  <c r="AP72" i="1"/>
  <c r="AF72" i="1"/>
  <c r="AB72" i="1"/>
  <c r="BE71" i="1"/>
  <c r="BE70" i="1"/>
  <c r="BH69" i="1"/>
  <c r="BG69" i="1"/>
  <c r="AT69" i="1"/>
  <c r="AN69" i="1" s="1"/>
  <c r="AP69" i="1"/>
  <c r="AF69" i="1"/>
  <c r="AB69" i="1"/>
  <c r="BG68" i="1"/>
  <c r="AT68" i="1"/>
  <c r="AP68" i="1"/>
  <c r="BH68" i="1" s="1"/>
  <c r="BI68" i="1" s="1"/>
  <c r="AF68" i="1"/>
  <c r="AB68" i="1"/>
  <c r="BG67" i="1"/>
  <c r="AT67" i="1"/>
  <c r="AN67" i="1" s="1"/>
  <c r="AP67" i="1"/>
  <c r="AF67" i="1"/>
  <c r="AB67" i="1"/>
  <c r="BG66" i="1"/>
  <c r="AT66" i="1"/>
  <c r="AP66" i="1"/>
  <c r="AF66" i="1"/>
  <c r="AB66" i="1"/>
  <c r="BG65" i="1"/>
  <c r="AT65" i="1"/>
  <c r="BK65" i="1" s="1"/>
  <c r="AP65" i="1"/>
  <c r="AF65" i="1"/>
  <c r="AB65" i="1"/>
  <c r="BG64" i="1"/>
  <c r="AT64" i="1"/>
  <c r="AP64" i="1"/>
  <c r="AF64" i="1"/>
  <c r="AB64" i="1"/>
  <c r="BE62" i="1"/>
  <c r="BG61" i="1"/>
  <c r="AT61" i="1"/>
  <c r="BK61" i="1" s="1"/>
  <c r="AP61" i="1"/>
  <c r="AQ61" i="1" s="1"/>
  <c r="AR61" i="1" s="1"/>
  <c r="AV61" i="1" s="1"/>
  <c r="AN61" i="1"/>
  <c r="AF61" i="1"/>
  <c r="AB61" i="1"/>
  <c r="BG60" i="1"/>
  <c r="AT60" i="1"/>
  <c r="BC60" i="1" s="1"/>
  <c r="AP60" i="1"/>
  <c r="BH60" i="1" s="1"/>
  <c r="AF60" i="1"/>
  <c r="AB60" i="1"/>
  <c r="BG59" i="1"/>
  <c r="AT59" i="1"/>
  <c r="BC59" i="1" s="1"/>
  <c r="AP59" i="1"/>
  <c r="BH59" i="1" s="1"/>
  <c r="AF59" i="1"/>
  <c r="AB59" i="1"/>
  <c r="BG58" i="1"/>
  <c r="AT58" i="1"/>
  <c r="AP58" i="1"/>
  <c r="BH58" i="1" s="1"/>
  <c r="AF58" i="1"/>
  <c r="AB58" i="1"/>
  <c r="BG57" i="1"/>
  <c r="AT57" i="1"/>
  <c r="BK57" i="1" s="1"/>
  <c r="AP57" i="1"/>
  <c r="AF57" i="1"/>
  <c r="AB57" i="1"/>
  <c r="BG56" i="1"/>
  <c r="AT56" i="1"/>
  <c r="AP56" i="1"/>
  <c r="AF56" i="1"/>
  <c r="AB56" i="1"/>
  <c r="BQ55" i="1"/>
  <c r="BG55" i="1"/>
  <c r="AT55" i="1"/>
  <c r="AP55" i="1"/>
  <c r="AF55" i="1"/>
  <c r="AB55" i="1"/>
  <c r="BQ54" i="1"/>
  <c r="BP54" i="1"/>
  <c r="BO55" i="1" s="1"/>
  <c r="BG54" i="1"/>
  <c r="AT54" i="1"/>
  <c r="BC54" i="1" s="1"/>
  <c r="AP54" i="1"/>
  <c r="AF54" i="1"/>
  <c r="AB54" i="1"/>
  <c r="BQ53" i="1"/>
  <c r="BP53" i="1"/>
  <c r="BO54" i="1" s="1"/>
  <c r="BG53" i="1"/>
  <c r="BI53" i="1" s="1"/>
  <c r="AT53" i="1"/>
  <c r="BC53" i="1" s="1"/>
  <c r="AP53" i="1"/>
  <c r="BH53" i="1" s="1"/>
  <c r="AF53" i="1"/>
  <c r="AB53" i="1"/>
  <c r="BQ52" i="1"/>
  <c r="BP52" i="1"/>
  <c r="BO53" i="1" s="1"/>
  <c r="BE52" i="1"/>
  <c r="BQ51" i="1"/>
  <c r="BP51" i="1"/>
  <c r="BO52" i="1" s="1"/>
  <c r="BE51" i="1"/>
  <c r="BQ50" i="1"/>
  <c r="BP50" i="1"/>
  <c r="BO51" i="1" s="1"/>
  <c r="BG50" i="1"/>
  <c r="AT50" i="1"/>
  <c r="AP50" i="1"/>
  <c r="AQ50" i="1" s="1"/>
  <c r="AR50" i="1" s="1"/>
  <c r="AF50" i="1"/>
  <c r="AB50" i="1"/>
  <c r="BQ49" i="1"/>
  <c r="BP49" i="1"/>
  <c r="BO50" i="1" s="1"/>
  <c r="BG49" i="1"/>
  <c r="AT49" i="1"/>
  <c r="BC49" i="1" s="1"/>
  <c r="AP49" i="1"/>
  <c r="AF49" i="1"/>
  <c r="AB49" i="1"/>
  <c r="BQ48" i="1"/>
  <c r="BP48" i="1"/>
  <c r="BO49" i="1" s="1"/>
  <c r="BG48" i="1"/>
  <c r="AT48" i="1"/>
  <c r="AP48" i="1"/>
  <c r="BH48" i="1" s="1"/>
  <c r="AF48" i="1"/>
  <c r="AB48" i="1"/>
  <c r="BQ47" i="1"/>
  <c r="BP47" i="1"/>
  <c r="BO48" i="1" s="1"/>
  <c r="BG47" i="1"/>
  <c r="AT47" i="1"/>
  <c r="AP47" i="1"/>
  <c r="BH47" i="1" s="1"/>
  <c r="AF47" i="1"/>
  <c r="AB47" i="1"/>
  <c r="BQ46" i="1"/>
  <c r="BP46" i="1"/>
  <c r="BO47" i="1" s="1"/>
  <c r="BG46" i="1"/>
  <c r="AT46" i="1"/>
  <c r="BC46" i="1" s="1"/>
  <c r="AP46" i="1"/>
  <c r="AQ46" i="1" s="1"/>
  <c r="AR46" i="1" s="1"/>
  <c r="AF46" i="1"/>
  <c r="AB46" i="1"/>
  <c r="BP45" i="1"/>
  <c r="BO46" i="1" s="1"/>
  <c r="BG45" i="1"/>
  <c r="AT45" i="1"/>
  <c r="BC45" i="1" s="1"/>
  <c r="AP45" i="1"/>
  <c r="BH45" i="1" s="1"/>
  <c r="AF45" i="1"/>
  <c r="AB45" i="1"/>
  <c r="BG44" i="1"/>
  <c r="AT44" i="1"/>
  <c r="AP44" i="1"/>
  <c r="AF44" i="1"/>
  <c r="AB44" i="1"/>
  <c r="BG43" i="1"/>
  <c r="AT43" i="1"/>
  <c r="BC43" i="1" s="1"/>
  <c r="AP43" i="1"/>
  <c r="BH43" i="1" s="1"/>
  <c r="AF43" i="1"/>
  <c r="AB43" i="1"/>
  <c r="BE42" i="1"/>
  <c r="BE41" i="1"/>
  <c r="BK40" i="1"/>
  <c r="BG40" i="1"/>
  <c r="AT40" i="1"/>
  <c r="BC40" i="1" s="1"/>
  <c r="AP40" i="1"/>
  <c r="BH40" i="1" s="1"/>
  <c r="AN40" i="1"/>
  <c r="AF40" i="1"/>
  <c r="AB40" i="1"/>
  <c r="BK39" i="1"/>
  <c r="BG39" i="1"/>
  <c r="AT39" i="1"/>
  <c r="BC39" i="1" s="1"/>
  <c r="AP39" i="1"/>
  <c r="AN39" i="1"/>
  <c r="AF39" i="1"/>
  <c r="AB39" i="1"/>
  <c r="BG38" i="1"/>
  <c r="AT38" i="1"/>
  <c r="BC38" i="1" s="1"/>
  <c r="AP38" i="1"/>
  <c r="BH38" i="1" s="1"/>
  <c r="AF38" i="1"/>
  <c r="AB38" i="1"/>
  <c r="BG37" i="1"/>
  <c r="AT37" i="1"/>
  <c r="AP37" i="1"/>
  <c r="AF37" i="1"/>
  <c r="AB37" i="1"/>
  <c r="BG36" i="1"/>
  <c r="AT36" i="1"/>
  <c r="AN36" i="1" s="1"/>
  <c r="AP36" i="1"/>
  <c r="BH36" i="1" s="1"/>
  <c r="AF36" i="1"/>
  <c r="AB36" i="1"/>
  <c r="BG35" i="1"/>
  <c r="AT35" i="1"/>
  <c r="BC35" i="1" s="1"/>
  <c r="AP35" i="1"/>
  <c r="AF35" i="1"/>
  <c r="AB35" i="1"/>
  <c r="BG34" i="1"/>
  <c r="BI34" i="1" s="1"/>
  <c r="AT34" i="1"/>
  <c r="AP34" i="1"/>
  <c r="BH34" i="1" s="1"/>
  <c r="AF34" i="1"/>
  <c r="AB34" i="1"/>
  <c r="BE33" i="1"/>
  <c r="BE32" i="1"/>
  <c r="BK31" i="1"/>
  <c r="BG31" i="1"/>
  <c r="AT31" i="1"/>
  <c r="BC31" i="1" s="1"/>
  <c r="AP31" i="1"/>
  <c r="AF31" i="1"/>
  <c r="AB31" i="1"/>
  <c r="BE30" i="1"/>
  <c r="BE29" i="1"/>
  <c r="BG28" i="1"/>
  <c r="BI28" i="1" s="1"/>
  <c r="AT28" i="1"/>
  <c r="AP28" i="1"/>
  <c r="BH28" i="1" s="1"/>
  <c r="AF28" i="1"/>
  <c r="AB28" i="1"/>
  <c r="BG27" i="1"/>
  <c r="AT27" i="1"/>
  <c r="AP27" i="1"/>
  <c r="AF27" i="1"/>
  <c r="AB27" i="1"/>
  <c r="BG26" i="1"/>
  <c r="AT26" i="1"/>
  <c r="BC26" i="1" s="1"/>
  <c r="AP26" i="1"/>
  <c r="BH26" i="1" s="1"/>
  <c r="AF26" i="1"/>
  <c r="AB26" i="1"/>
  <c r="BG25" i="1"/>
  <c r="AT25" i="1"/>
  <c r="AP25" i="1"/>
  <c r="AF25" i="1"/>
  <c r="AB25" i="1"/>
  <c r="BG24" i="1"/>
  <c r="AT24" i="1"/>
  <c r="AP24" i="1"/>
  <c r="BH24" i="1" s="1"/>
  <c r="AF24" i="1"/>
  <c r="AB24" i="1"/>
  <c r="BG23" i="1"/>
  <c r="AT23" i="1"/>
  <c r="BK23" i="1" s="1"/>
  <c r="AP23" i="1"/>
  <c r="AQ23" i="1" s="1"/>
  <c r="AR23" i="1" s="1"/>
  <c r="AV23" i="1" s="1"/>
  <c r="AF23" i="1"/>
  <c r="AB23" i="1"/>
  <c r="BG22" i="1"/>
  <c r="BI22" i="1" s="1"/>
  <c r="AT22" i="1"/>
  <c r="AP22" i="1"/>
  <c r="BH22" i="1" s="1"/>
  <c r="AF22" i="1"/>
  <c r="AB22" i="1"/>
  <c r="BG21" i="1"/>
  <c r="AT21" i="1"/>
  <c r="BK21" i="1" s="1"/>
  <c r="AP21" i="1"/>
  <c r="AF21" i="1"/>
  <c r="AB21" i="1"/>
  <c r="BG20" i="1"/>
  <c r="BI20" i="1" s="1"/>
  <c r="BJ20" i="1" s="1"/>
  <c r="AT20" i="1"/>
  <c r="AP20" i="1"/>
  <c r="BH20" i="1" s="1"/>
  <c r="AN20" i="1"/>
  <c r="AF20" i="1"/>
  <c r="AB20" i="1"/>
  <c r="BG19" i="1"/>
  <c r="AT19" i="1"/>
  <c r="AP19" i="1"/>
  <c r="AF19" i="1"/>
  <c r="AB19" i="1"/>
  <c r="BK18" i="1"/>
  <c r="BG18" i="1"/>
  <c r="AT18" i="1"/>
  <c r="BC18" i="1" s="1"/>
  <c r="AP18" i="1"/>
  <c r="BH18" i="1" s="1"/>
  <c r="AF18" i="1"/>
  <c r="AB18" i="1"/>
  <c r="BG17" i="1"/>
  <c r="AT17" i="1"/>
  <c r="AP17" i="1"/>
  <c r="AF17" i="1"/>
  <c r="AB17" i="1"/>
  <c r="BG16" i="1"/>
  <c r="AT16" i="1"/>
  <c r="AN16" i="1" s="1"/>
  <c r="AP16" i="1"/>
  <c r="BH16" i="1" s="1"/>
  <c r="AF16" i="1"/>
  <c r="AB16" i="1"/>
  <c r="BG13" i="1"/>
  <c r="AT13" i="1"/>
  <c r="BK13" i="1" s="1"/>
  <c r="AP13" i="1"/>
  <c r="AQ13" i="1" s="1"/>
  <c r="AR13" i="1" s="1"/>
  <c r="AV13" i="1" s="1"/>
  <c r="AF13" i="1"/>
  <c r="AB13" i="1"/>
  <c r="BG12" i="1"/>
  <c r="AT12" i="1"/>
  <c r="BC12" i="1" s="1"/>
  <c r="AP12" i="1"/>
  <c r="AN12" i="1"/>
  <c r="AF12" i="1"/>
  <c r="AB12" i="1"/>
  <c r="BK11" i="1"/>
  <c r="BG11" i="1"/>
  <c r="AT11" i="1"/>
  <c r="AN11" i="1" s="1"/>
  <c r="AP11" i="1"/>
  <c r="AF11" i="1"/>
  <c r="AB11" i="1"/>
  <c r="BQ9" i="1"/>
  <c r="AG9" i="1"/>
  <c r="AH9" i="1" s="1"/>
  <c r="AI9" i="1" s="1"/>
  <c r="AD9" i="1"/>
  <c r="AI6" i="1"/>
  <c r="AH4" i="1"/>
  <c r="AB4" i="1"/>
  <c r="AE2" i="1"/>
  <c r="AE3" i="1" s="1"/>
  <c r="AE4" i="1" s="1"/>
  <c r="AH3" i="1" s="1"/>
  <c r="AC2" i="1"/>
  <c r="AC3" i="1" s="1"/>
  <c r="AJ1" i="1"/>
  <c r="AI1" i="1"/>
  <c r="AI3" i="1" s="1"/>
  <c r="AQ20" i="1" l="1"/>
  <c r="AR20" i="1" s="1"/>
  <c r="AV20" i="1" s="1"/>
  <c r="BC21" i="1"/>
  <c r="AQ24" i="1"/>
  <c r="AR24" i="1" s="1"/>
  <c r="AQ34" i="1"/>
  <c r="AR34" i="1" s="1"/>
  <c r="BI38" i="1"/>
  <c r="BJ38" i="1" s="1"/>
  <c r="BL38" i="1" s="1"/>
  <c r="BM38" i="1" s="1"/>
  <c r="BI59" i="1"/>
  <c r="BJ59" i="1" s="1"/>
  <c r="BI60" i="1"/>
  <c r="BI93" i="1"/>
  <c r="AF139" i="1"/>
  <c r="AN109" i="1"/>
  <c r="BC11" i="1"/>
  <c r="BI18" i="1"/>
  <c r="AN21" i="1"/>
  <c r="AN23" i="1"/>
  <c r="AN35" i="1"/>
  <c r="BK35" i="1"/>
  <c r="AQ59" i="1"/>
  <c r="AR59" i="1" s="1"/>
  <c r="AV59" i="1" s="1"/>
  <c r="AQ109" i="1"/>
  <c r="AR109" i="1" s="1"/>
  <c r="AV109" i="1" s="1"/>
  <c r="AJ139" i="1"/>
  <c r="AN13" i="1"/>
  <c r="BI26" i="1"/>
  <c r="BJ26" i="1" s="1"/>
  <c r="BI40" i="1"/>
  <c r="BJ40" i="1" s="1"/>
  <c r="BL40" i="1" s="1"/>
  <c r="BM40" i="1" s="1"/>
  <c r="BK45" i="1"/>
  <c r="AN46" i="1"/>
  <c r="BK46" i="1"/>
  <c r="BI48" i="1"/>
  <c r="AN60" i="1"/>
  <c r="BK60" i="1"/>
  <c r="BK89" i="1"/>
  <c r="AN92" i="1"/>
  <c r="BK92" i="1"/>
  <c r="AV103" i="1"/>
  <c r="AN117" i="1"/>
  <c r="AN127" i="1"/>
  <c r="BK12" i="1"/>
  <c r="AQ16" i="1"/>
  <c r="AR16" i="1" s="1"/>
  <c r="AQ18" i="1"/>
  <c r="AR18" i="1" s="1"/>
  <c r="BA18" i="1" s="1"/>
  <c r="BB18" i="1" s="1"/>
  <c r="BD18" i="1" s="1"/>
  <c r="BE18" i="1" s="1"/>
  <c r="BI43" i="1"/>
  <c r="BC76" i="1"/>
  <c r="BI80" i="1"/>
  <c r="BJ80" i="1" s="1"/>
  <c r="BI82" i="1"/>
  <c r="BJ82" i="1" s="1"/>
  <c r="BI87" i="1"/>
  <c r="BJ87" i="1" s="1"/>
  <c r="AU102" i="1"/>
  <c r="AW102" i="1" s="1"/>
  <c r="AX102" i="1" s="1"/>
  <c r="AY102" i="1" s="1"/>
  <c r="BI106" i="1"/>
  <c r="BI115" i="1"/>
  <c r="BI117" i="1"/>
  <c r="BJ117" i="1" s="1"/>
  <c r="BL117" i="1" s="1"/>
  <c r="BM117" i="1" s="1"/>
  <c r="AN130" i="1"/>
  <c r="BC13" i="1"/>
  <c r="BA16" i="1"/>
  <c r="BB16" i="1" s="1"/>
  <c r="BD16" i="1" s="1"/>
  <c r="BE16" i="1" s="1"/>
  <c r="BI36" i="1"/>
  <c r="BJ36" i="1" s="1"/>
  <c r="AN38" i="1"/>
  <c r="BK38" i="1"/>
  <c r="AQ43" i="1"/>
  <c r="AR43" i="1" s="1"/>
  <c r="AS43" i="1" s="1"/>
  <c r="AU43" i="1" s="1"/>
  <c r="AW43" i="1" s="1"/>
  <c r="AX43" i="1" s="1"/>
  <c r="AY43" i="1" s="1"/>
  <c r="BI45" i="1"/>
  <c r="BJ45" i="1" s="1"/>
  <c r="BI47" i="1"/>
  <c r="AN49" i="1"/>
  <c r="BK49" i="1"/>
  <c r="BK53" i="1"/>
  <c r="AQ87" i="1"/>
  <c r="AR87" i="1" s="1"/>
  <c r="BA87" i="1" s="1"/>
  <c r="BB87" i="1" s="1"/>
  <c r="BD87" i="1" s="1"/>
  <c r="BE87" i="1" s="1"/>
  <c r="BH121" i="1"/>
  <c r="BI121" i="1" s="1"/>
  <c r="BC127" i="1"/>
  <c r="BK19" i="1"/>
  <c r="AN19" i="1"/>
  <c r="BC88" i="1"/>
  <c r="BK88" i="1"/>
  <c r="AN88" i="1"/>
  <c r="BC34" i="1"/>
  <c r="BK34" i="1"/>
  <c r="AN34" i="1"/>
  <c r="BC56" i="1"/>
  <c r="AN56" i="1"/>
  <c r="BJ60" i="1"/>
  <c r="BL60" i="1" s="1"/>
  <c r="BM60" i="1" s="1"/>
  <c r="AN26" i="1"/>
  <c r="BC36" i="1"/>
  <c r="BK36" i="1"/>
  <c r="BK50" i="1"/>
  <c r="AN50" i="1"/>
  <c r="BC50" i="1"/>
  <c r="BH96" i="1"/>
  <c r="BI96" i="1" s="1"/>
  <c r="BJ96" i="1" s="1"/>
  <c r="BL96" i="1" s="1"/>
  <c r="BM96" i="1" s="1"/>
  <c r="AQ96" i="1"/>
  <c r="AR96" i="1" s="1"/>
  <c r="BC106" i="1"/>
  <c r="AN106" i="1"/>
  <c r="BC128" i="1"/>
  <c r="BK128" i="1"/>
  <c r="AN128" i="1"/>
  <c r="BC22" i="1"/>
  <c r="BK22" i="1"/>
  <c r="AV86" i="1"/>
  <c r="AS86" i="1"/>
  <c r="AU86" i="1" s="1"/>
  <c r="AW86" i="1" s="1"/>
  <c r="AX86" i="1" s="1"/>
  <c r="AY86" i="1" s="1"/>
  <c r="BC17" i="1"/>
  <c r="BK17" i="1"/>
  <c r="AN17" i="1"/>
  <c r="AN18" i="1"/>
  <c r="BJ22" i="1"/>
  <c r="BC24" i="1"/>
  <c r="BK24" i="1"/>
  <c r="AN24" i="1"/>
  <c r="BC28" i="1"/>
  <c r="BK28" i="1"/>
  <c r="BC44" i="1"/>
  <c r="BK44" i="1"/>
  <c r="AN44" i="1"/>
  <c r="BJ48" i="1"/>
  <c r="BK86" i="1"/>
  <c r="BC86" i="1"/>
  <c r="AV120" i="1"/>
  <c r="AS120" i="1"/>
  <c r="AU120" i="1" s="1"/>
  <c r="AW120" i="1" s="1"/>
  <c r="AX120" i="1" s="1"/>
  <c r="AY120" i="1" s="1"/>
  <c r="AQ124" i="1"/>
  <c r="AR124" i="1" s="1"/>
  <c r="BH124" i="1"/>
  <c r="AN22" i="1"/>
  <c r="BC25" i="1"/>
  <c r="BK25" i="1"/>
  <c r="AN25" i="1"/>
  <c r="BJ28" i="1"/>
  <c r="BH12" i="1"/>
  <c r="BI12" i="1" s="1"/>
  <c r="BJ12" i="1" s="1"/>
  <c r="AQ12" i="1"/>
  <c r="AR12" i="1" s="1"/>
  <c r="AV12" i="1" s="1"/>
  <c r="BC16" i="1"/>
  <c r="BK16" i="1"/>
  <c r="BC20" i="1"/>
  <c r="BK20" i="1"/>
  <c r="BL20" i="1" s="1"/>
  <c r="BM20" i="1" s="1"/>
  <c r="BC23" i="1"/>
  <c r="BK26" i="1"/>
  <c r="BK27" i="1"/>
  <c r="AN27" i="1"/>
  <c r="AN28" i="1"/>
  <c r="BH31" i="1"/>
  <c r="BI31" i="1" s="1"/>
  <c r="BJ31" i="1" s="1"/>
  <c r="BL31" i="1" s="1"/>
  <c r="BM31" i="1" s="1"/>
  <c r="AQ31" i="1"/>
  <c r="AR31" i="1" s="1"/>
  <c r="BA31" i="1" s="1"/>
  <c r="BB31" i="1" s="1"/>
  <c r="BD31" i="1" s="1"/>
  <c r="BE31" i="1" s="1"/>
  <c r="BK37" i="1"/>
  <c r="AN37" i="1"/>
  <c r="BC47" i="1"/>
  <c r="BK47" i="1"/>
  <c r="AN47" i="1"/>
  <c r="BC55" i="1"/>
  <c r="BK55" i="1"/>
  <c r="AN55" i="1"/>
  <c r="BC58" i="1"/>
  <c r="BK58" i="1"/>
  <c r="AN58" i="1"/>
  <c r="AN86" i="1"/>
  <c r="BJ89" i="1"/>
  <c r="BL89" i="1" s="1"/>
  <c r="BM89" i="1" s="1"/>
  <c r="BJ93" i="1"/>
  <c r="BC96" i="1"/>
  <c r="AN96" i="1"/>
  <c r="BH107" i="1"/>
  <c r="BI107" i="1" s="1"/>
  <c r="BJ107" i="1" s="1"/>
  <c r="BL107" i="1" s="1"/>
  <c r="BM107" i="1" s="1"/>
  <c r="AQ107" i="1"/>
  <c r="AR107" i="1" s="1"/>
  <c r="BA107" i="1" s="1"/>
  <c r="BB107" i="1" s="1"/>
  <c r="BD107" i="1" s="1"/>
  <c r="BE107" i="1" s="1"/>
  <c r="BC110" i="1"/>
  <c r="AN110" i="1"/>
  <c r="AN111" i="1"/>
  <c r="BK111" i="1"/>
  <c r="AQ114" i="1"/>
  <c r="AR114" i="1" s="1"/>
  <c r="BH114" i="1"/>
  <c r="BA120" i="1"/>
  <c r="BB120" i="1" s="1"/>
  <c r="BD120" i="1" s="1"/>
  <c r="BE120" i="1" s="1"/>
  <c r="BH130" i="1"/>
  <c r="BI130" i="1" s="1"/>
  <c r="BJ130" i="1" s="1"/>
  <c r="AQ130" i="1"/>
  <c r="AR130" i="1" s="1"/>
  <c r="AN45" i="1"/>
  <c r="AN53" i="1"/>
  <c r="BK59" i="1"/>
  <c r="BJ68" i="1"/>
  <c r="AN89" i="1"/>
  <c r="BH100" i="1"/>
  <c r="BI100" i="1" s="1"/>
  <c r="BJ100" i="1" s="1"/>
  <c r="BJ111" i="1"/>
  <c r="BL111" i="1" s="1"/>
  <c r="BM111" i="1" s="1"/>
  <c r="BI16" i="1"/>
  <c r="BJ16" i="1" s="1"/>
  <c r="BI24" i="1"/>
  <c r="BJ24" i="1" s="1"/>
  <c r="BL24" i="1" s="1"/>
  <c r="BM24" i="1" s="1"/>
  <c r="AQ36" i="1"/>
  <c r="AR36" i="1" s="1"/>
  <c r="BA36" i="1" s="1"/>
  <c r="BB36" i="1" s="1"/>
  <c r="BD36" i="1" s="1"/>
  <c r="BE36" i="1" s="1"/>
  <c r="AQ38" i="1"/>
  <c r="AR38" i="1" s="1"/>
  <c r="AQ40" i="1"/>
  <c r="AR40" i="1" s="1"/>
  <c r="BA40" i="1" s="1"/>
  <c r="BB40" i="1" s="1"/>
  <c r="BD40" i="1" s="1"/>
  <c r="BE40" i="1" s="1"/>
  <c r="AN43" i="1"/>
  <c r="BJ43" i="1"/>
  <c r="AN59" i="1"/>
  <c r="AQ60" i="1"/>
  <c r="AR60" i="1" s="1"/>
  <c r="AV60" i="1" s="1"/>
  <c r="BC72" i="1"/>
  <c r="AN87" i="1"/>
  <c r="BH102" i="1"/>
  <c r="BI102" i="1" s="1"/>
  <c r="BJ102" i="1" s="1"/>
  <c r="BI109" i="1"/>
  <c r="BJ109" i="1" s="1"/>
  <c r="AQ111" i="1"/>
  <c r="AR111" i="1" s="1"/>
  <c r="AS111" i="1" s="1"/>
  <c r="AU111" i="1" s="1"/>
  <c r="AW111" i="1" s="1"/>
  <c r="AX111" i="1" s="1"/>
  <c r="AY111" i="1" s="1"/>
  <c r="AQ117" i="1"/>
  <c r="AR117" i="1" s="1"/>
  <c r="AS117" i="1" s="1"/>
  <c r="AU117" i="1" s="1"/>
  <c r="AW117" i="1" s="1"/>
  <c r="AQ123" i="1"/>
  <c r="AR123" i="1" s="1"/>
  <c r="AN129" i="1"/>
  <c r="BK130" i="1"/>
  <c r="BJ34" i="1"/>
  <c r="BJ47" i="1"/>
  <c r="BL47" i="1" s="1"/>
  <c r="BM47" i="1" s="1"/>
  <c r="BH123" i="1"/>
  <c r="BI123" i="1" s="1"/>
  <c r="BJ123" i="1" s="1"/>
  <c r="AQ22" i="1"/>
  <c r="AR22" i="1" s="1"/>
  <c r="AV22" i="1" s="1"/>
  <c r="AQ26" i="1"/>
  <c r="AR26" i="1" s="1"/>
  <c r="BA26" i="1" s="1"/>
  <c r="BB26" i="1" s="1"/>
  <c r="BD26" i="1" s="1"/>
  <c r="BE26" i="1" s="1"/>
  <c r="AQ28" i="1"/>
  <c r="AR28" i="1" s="1"/>
  <c r="AV28" i="1" s="1"/>
  <c r="AN31" i="1"/>
  <c r="BK43" i="1"/>
  <c r="AQ45" i="1"/>
  <c r="AR45" i="1" s="1"/>
  <c r="BA45" i="1" s="1"/>
  <c r="BB45" i="1" s="1"/>
  <c r="BD45" i="1" s="1"/>
  <c r="BE45" i="1" s="1"/>
  <c r="AQ47" i="1"/>
  <c r="AR47" i="1" s="1"/>
  <c r="AV47" i="1" s="1"/>
  <c r="AQ53" i="1"/>
  <c r="AR53" i="1" s="1"/>
  <c r="BA53" i="1" s="1"/>
  <c r="BB53" i="1" s="1"/>
  <c r="BD53" i="1" s="1"/>
  <c r="BE53" i="1" s="1"/>
  <c r="AQ58" i="1"/>
  <c r="AR58" i="1" s="1"/>
  <c r="BI83" i="1"/>
  <c r="BJ83" i="1" s="1"/>
  <c r="BK87" i="1"/>
  <c r="AQ89" i="1"/>
  <c r="AR89" i="1" s="1"/>
  <c r="BA89" i="1" s="1"/>
  <c r="BB89" i="1" s="1"/>
  <c r="BD89" i="1" s="1"/>
  <c r="BE89" i="1" s="1"/>
  <c r="AQ106" i="1"/>
  <c r="AR106" i="1" s="1"/>
  <c r="AV106" i="1" s="1"/>
  <c r="AN107" i="1"/>
  <c r="AN108" i="1"/>
  <c r="BK109" i="1"/>
  <c r="AQ115" i="1"/>
  <c r="AR115" i="1" s="1"/>
  <c r="AS115" i="1" s="1"/>
  <c r="AU115" i="1" s="1"/>
  <c r="AW115" i="1" s="1"/>
  <c r="AX115" i="1" s="1"/>
  <c r="AY115" i="1" s="1"/>
  <c r="BK117" i="1"/>
  <c r="AN120" i="1"/>
  <c r="AS24" i="1"/>
  <c r="AU24" i="1" s="1"/>
  <c r="AW24" i="1" s="1"/>
  <c r="AX24" i="1" s="1"/>
  <c r="AY24" i="1" s="1"/>
  <c r="AV24" i="1"/>
  <c r="BA24" i="1"/>
  <c r="BB24" i="1" s="1"/>
  <c r="AS87" i="1"/>
  <c r="AU87" i="1" s="1"/>
  <c r="AW87" i="1" s="1"/>
  <c r="AX87" i="1" s="1"/>
  <c r="AY87" i="1" s="1"/>
  <c r="AV87" i="1"/>
  <c r="AS93" i="1"/>
  <c r="AU93" i="1" s="1"/>
  <c r="AW93" i="1" s="1"/>
  <c r="AX93" i="1" s="1"/>
  <c r="AY93" i="1" s="1"/>
  <c r="AV93" i="1"/>
  <c r="AV46" i="1"/>
  <c r="BA46" i="1"/>
  <c r="BB46" i="1" s="1"/>
  <c r="BD46" i="1" s="1"/>
  <c r="BE46" i="1" s="1"/>
  <c r="AS46" i="1"/>
  <c r="AU46" i="1" s="1"/>
  <c r="AW46" i="1" s="1"/>
  <c r="AX46" i="1" s="1"/>
  <c r="AY46" i="1" s="1"/>
  <c r="AS107" i="1"/>
  <c r="AU107" i="1" s="1"/>
  <c r="AW107" i="1" s="1"/>
  <c r="AX107" i="1" s="1"/>
  <c r="AY107" i="1" s="1"/>
  <c r="AS121" i="1"/>
  <c r="AU121" i="1" s="1"/>
  <c r="AW121" i="1" s="1"/>
  <c r="AX121" i="1" s="1"/>
  <c r="AY121" i="1" s="1"/>
  <c r="AV121" i="1"/>
  <c r="AS12" i="1"/>
  <c r="AU12" i="1" s="1"/>
  <c r="AW12" i="1" s="1"/>
  <c r="AX12" i="1" s="1"/>
  <c r="AY12" i="1" s="1"/>
  <c r="BA12" i="1"/>
  <c r="BB12" i="1" s="1"/>
  <c r="BD12" i="1" s="1"/>
  <c r="BE12" i="1" s="1"/>
  <c r="AV38" i="1"/>
  <c r="BA38" i="1"/>
  <c r="BB38" i="1" s="1"/>
  <c r="BD38" i="1" s="1"/>
  <c r="BE38" i="1" s="1"/>
  <c r="AS38" i="1"/>
  <c r="AU38" i="1" s="1"/>
  <c r="AW38" i="1" s="1"/>
  <c r="AS40" i="1"/>
  <c r="AU40" i="1" s="1"/>
  <c r="AW40" i="1" s="1"/>
  <c r="AX40" i="1" s="1"/>
  <c r="AY40" i="1" s="1"/>
  <c r="AS60" i="1"/>
  <c r="AU60" i="1" s="1"/>
  <c r="AW60" i="1" s="1"/>
  <c r="AX60" i="1" s="1"/>
  <c r="AY60" i="1" s="1"/>
  <c r="AS100" i="1"/>
  <c r="AU100" i="1" s="1"/>
  <c r="AW100" i="1" s="1"/>
  <c r="AX100" i="1" s="1"/>
  <c r="AY100" i="1" s="1"/>
  <c r="AV100" i="1"/>
  <c r="AS16" i="1"/>
  <c r="AU16" i="1" s="1"/>
  <c r="AW16" i="1" s="1"/>
  <c r="AX16" i="1" s="1"/>
  <c r="AY16" i="1" s="1"/>
  <c r="AV16" i="1"/>
  <c r="BJ18" i="1"/>
  <c r="BL18" i="1" s="1"/>
  <c r="BM18" i="1" s="1"/>
  <c r="BA20" i="1"/>
  <c r="BB20" i="1" s="1"/>
  <c r="AS20" i="1"/>
  <c r="AU20" i="1" s="1"/>
  <c r="AW20" i="1" s="1"/>
  <c r="AX20" i="1" s="1"/>
  <c r="AY20" i="1" s="1"/>
  <c r="AS34" i="1"/>
  <c r="AU34" i="1" s="1"/>
  <c r="AW34" i="1" s="1"/>
  <c r="AX34" i="1" s="1"/>
  <c r="AY34" i="1" s="1"/>
  <c r="AV34" i="1"/>
  <c r="BA34" i="1"/>
  <c r="BB34" i="1" s="1"/>
  <c r="AS47" i="1"/>
  <c r="AU47" i="1" s="1"/>
  <c r="AW47" i="1" s="1"/>
  <c r="AX47" i="1" s="1"/>
  <c r="AY47" i="1" s="1"/>
  <c r="BA47" i="1"/>
  <c r="BB47" i="1" s="1"/>
  <c r="AS50" i="1"/>
  <c r="AU50" i="1" s="1"/>
  <c r="AW50" i="1" s="1"/>
  <c r="AX50" i="1" s="1"/>
  <c r="AY50" i="1" s="1"/>
  <c r="AV50" i="1"/>
  <c r="BJ53" i="1"/>
  <c r="AC124" i="1"/>
  <c r="AD124" i="1" s="1"/>
  <c r="AE124" i="1" s="1"/>
  <c r="AC122" i="1"/>
  <c r="AD122" i="1" s="1"/>
  <c r="AE122" i="1" s="1"/>
  <c r="AC120" i="1"/>
  <c r="AD120" i="1" s="1"/>
  <c r="AE120" i="1" s="1"/>
  <c r="AC129" i="1"/>
  <c r="AC123" i="1"/>
  <c r="AD123" i="1" s="1"/>
  <c r="AE123" i="1" s="1"/>
  <c r="AC121" i="1"/>
  <c r="AD121" i="1" s="1"/>
  <c r="AE121" i="1" s="1"/>
  <c r="AC114" i="1"/>
  <c r="AD114" i="1" s="1"/>
  <c r="AE114" i="1" s="1"/>
  <c r="AC103" i="1"/>
  <c r="AD103" i="1" s="1"/>
  <c r="AE103" i="1" s="1"/>
  <c r="AC101" i="1"/>
  <c r="AD101" i="1" s="1"/>
  <c r="AE101" i="1" s="1"/>
  <c r="AC99" i="1"/>
  <c r="AD99" i="1" s="1"/>
  <c r="AE99" i="1" s="1"/>
  <c r="AC130" i="1"/>
  <c r="AD130" i="1" s="1"/>
  <c r="AE130" i="1" s="1"/>
  <c r="AC115" i="1"/>
  <c r="AD115" i="1" s="1"/>
  <c r="AE115" i="1" s="1"/>
  <c r="AC108" i="1"/>
  <c r="AD108" i="1" s="1"/>
  <c r="AE108" i="1" s="1"/>
  <c r="AC102" i="1"/>
  <c r="AD102" i="1" s="1"/>
  <c r="AE102" i="1" s="1"/>
  <c r="AC100" i="1"/>
  <c r="AD100" i="1" s="1"/>
  <c r="AE100" i="1" s="1"/>
  <c r="AC94" i="1"/>
  <c r="AD94" i="1" s="1"/>
  <c r="AE94" i="1" s="1"/>
  <c r="AC92" i="1"/>
  <c r="AD92" i="1" s="1"/>
  <c r="AE92" i="1" s="1"/>
  <c r="AC83" i="1"/>
  <c r="AD83" i="1" s="1"/>
  <c r="AE83" i="1" s="1"/>
  <c r="AC81" i="1"/>
  <c r="AD81" i="1" s="1"/>
  <c r="AE81" i="1" s="1"/>
  <c r="AC76" i="1"/>
  <c r="AD76" i="1" s="1"/>
  <c r="AE76" i="1" s="1"/>
  <c r="AC74" i="1"/>
  <c r="AD74" i="1" s="1"/>
  <c r="AE74" i="1" s="1"/>
  <c r="AC72" i="1"/>
  <c r="AD72" i="1" s="1"/>
  <c r="AE72" i="1" s="1"/>
  <c r="AC69" i="1"/>
  <c r="AD69" i="1" s="1"/>
  <c r="AE69" i="1" s="1"/>
  <c r="AC67" i="1"/>
  <c r="AD67" i="1" s="1"/>
  <c r="AE67" i="1" s="1"/>
  <c r="AC65" i="1"/>
  <c r="AD65" i="1" s="1"/>
  <c r="AE65" i="1" s="1"/>
  <c r="AC111" i="1"/>
  <c r="AD111" i="1" s="1"/>
  <c r="AE111" i="1" s="1"/>
  <c r="AC110" i="1"/>
  <c r="AD110" i="1" s="1"/>
  <c r="AE110" i="1" s="1"/>
  <c r="AC107" i="1"/>
  <c r="AD107" i="1" s="1"/>
  <c r="AE107" i="1" s="1"/>
  <c r="AC95" i="1"/>
  <c r="AD95" i="1" s="1"/>
  <c r="AE95" i="1" s="1"/>
  <c r="AC93" i="1"/>
  <c r="AD93" i="1" s="1"/>
  <c r="AE93" i="1" s="1"/>
  <c r="AC86" i="1"/>
  <c r="AD86" i="1" s="1"/>
  <c r="AE86" i="1" s="1"/>
  <c r="AC61" i="1"/>
  <c r="AC58" i="1"/>
  <c r="AD58" i="1" s="1"/>
  <c r="AE58" i="1" s="1"/>
  <c r="AC50" i="1"/>
  <c r="AD50" i="1" s="1"/>
  <c r="AE50" i="1" s="1"/>
  <c r="AC46" i="1"/>
  <c r="AD46" i="1" s="1"/>
  <c r="AE46" i="1" s="1"/>
  <c r="AC117" i="1"/>
  <c r="AD117" i="1" s="1"/>
  <c r="AE117" i="1" s="1"/>
  <c r="AC109" i="1"/>
  <c r="AD109" i="1" s="1"/>
  <c r="AE109" i="1" s="1"/>
  <c r="AC88" i="1"/>
  <c r="AD88" i="1" s="1"/>
  <c r="AE88" i="1" s="1"/>
  <c r="AC82" i="1"/>
  <c r="AD82" i="1" s="1"/>
  <c r="AE82" i="1" s="1"/>
  <c r="AC80" i="1"/>
  <c r="AC68" i="1"/>
  <c r="AD68" i="1" s="1"/>
  <c r="AE68" i="1" s="1"/>
  <c r="AC11" i="1"/>
  <c r="AD11" i="1" s="1"/>
  <c r="AE11" i="1" s="1"/>
  <c r="BH11" i="1"/>
  <c r="BI11" i="1" s="1"/>
  <c r="BJ11" i="1" s="1"/>
  <c r="BL11" i="1" s="1"/>
  <c r="BM11" i="1" s="1"/>
  <c r="AC18" i="1"/>
  <c r="AD18" i="1" s="1"/>
  <c r="AE18" i="1" s="1"/>
  <c r="AV18" i="1"/>
  <c r="AC21" i="1"/>
  <c r="AD21" i="1" s="1"/>
  <c r="AE21" i="1" s="1"/>
  <c r="BH21" i="1"/>
  <c r="BI21" i="1" s="1"/>
  <c r="BJ21" i="1" s="1"/>
  <c r="BL21" i="1" s="1"/>
  <c r="BM21" i="1" s="1"/>
  <c r="AC26" i="1"/>
  <c r="AD26" i="1" s="1"/>
  <c r="AE26" i="1" s="1"/>
  <c r="AV26" i="1"/>
  <c r="AC36" i="1"/>
  <c r="AD36" i="1" s="1"/>
  <c r="AE36" i="1" s="1"/>
  <c r="AC39" i="1"/>
  <c r="AD39" i="1" s="1"/>
  <c r="AE39" i="1" s="1"/>
  <c r="BH39" i="1"/>
  <c r="BI39" i="1" s="1"/>
  <c r="BJ39" i="1" s="1"/>
  <c r="BL39" i="1" s="1"/>
  <c r="BM39" i="1" s="1"/>
  <c r="AC45" i="1"/>
  <c r="AD45" i="1" s="1"/>
  <c r="AE45" i="1" s="1"/>
  <c r="AC49" i="1"/>
  <c r="AD49" i="1" s="1"/>
  <c r="AE49" i="1" s="1"/>
  <c r="BH49" i="1"/>
  <c r="BI49" i="1" s="1"/>
  <c r="BJ49" i="1" s="1"/>
  <c r="BL49" i="1" s="1"/>
  <c r="BM49" i="1" s="1"/>
  <c r="BH50" i="1"/>
  <c r="BI50" i="1" s="1"/>
  <c r="BJ50" i="1" s="1"/>
  <c r="BL50" i="1" s="1"/>
  <c r="BM50" i="1" s="1"/>
  <c r="AC53" i="1"/>
  <c r="AD53" i="1" s="1"/>
  <c r="AE53" i="1" s="1"/>
  <c r="AC54" i="1"/>
  <c r="AD54" i="1" s="1"/>
  <c r="AE54" i="1" s="1"/>
  <c r="AC59" i="1"/>
  <c r="AD59" i="1" s="1"/>
  <c r="AE59" i="1" s="1"/>
  <c r="BK68" i="1"/>
  <c r="AN68" i="1"/>
  <c r="BC68" i="1"/>
  <c r="BH73" i="1"/>
  <c r="BI73" i="1" s="1"/>
  <c r="BJ73" i="1" s="1"/>
  <c r="AQ73" i="1"/>
  <c r="AR73" i="1" s="1"/>
  <c r="BA73" i="1" s="1"/>
  <c r="BB73" i="1" s="1"/>
  <c r="AQ74" i="1"/>
  <c r="AR74" i="1" s="1"/>
  <c r="BH74" i="1"/>
  <c r="BI74" i="1" s="1"/>
  <c r="BJ74" i="1" s="1"/>
  <c r="BL74" i="1" s="1"/>
  <c r="BM74" i="1" s="1"/>
  <c r="AC75" i="1"/>
  <c r="AD75" i="1" s="1"/>
  <c r="AE75" i="1" s="1"/>
  <c r="BK80" i="1"/>
  <c r="AN80" i="1"/>
  <c r="BC80" i="1"/>
  <c r="BK83" i="1"/>
  <c r="BC83" i="1"/>
  <c r="BA94" i="1"/>
  <c r="BB94" i="1" s="1"/>
  <c r="BD94" i="1" s="1"/>
  <c r="BE94" i="1" s="1"/>
  <c r="AQ101" i="1"/>
  <c r="AR101" i="1" s="1"/>
  <c r="BA101" i="1" s="1"/>
  <c r="BB101" i="1" s="1"/>
  <c r="BD101" i="1" s="1"/>
  <c r="BE101" i="1" s="1"/>
  <c r="BH101" i="1"/>
  <c r="BI101" i="1" s="1"/>
  <c r="BJ101" i="1" s="1"/>
  <c r="BJ106" i="1"/>
  <c r="BL106" i="1" s="1"/>
  <c r="BM106" i="1" s="1"/>
  <c r="AQ110" i="1"/>
  <c r="AR110" i="1" s="1"/>
  <c r="BH110" i="1"/>
  <c r="BI110" i="1" s="1"/>
  <c r="BJ110" i="1" s="1"/>
  <c r="BC116" i="1"/>
  <c r="BK116" i="1"/>
  <c r="BC122" i="1"/>
  <c r="BK122" i="1"/>
  <c r="AN122" i="1"/>
  <c r="AD129" i="1"/>
  <c r="AE129" i="1" s="1"/>
  <c r="AC5" i="1"/>
  <c r="AQ11" i="1"/>
  <c r="AR11" i="1" s="1"/>
  <c r="BA11" i="1" s="1"/>
  <c r="BB11" i="1" s="1"/>
  <c r="BD11" i="1" s="1"/>
  <c r="AS13" i="1"/>
  <c r="AU13" i="1" s="1"/>
  <c r="AW13" i="1" s="1"/>
  <c r="AX13" i="1" s="1"/>
  <c r="AY13" i="1" s="1"/>
  <c r="AC16" i="1"/>
  <c r="AD16" i="1" s="1"/>
  <c r="AE16" i="1" s="1"/>
  <c r="AC19" i="1"/>
  <c r="AD19" i="1" s="1"/>
  <c r="AE19" i="1" s="1"/>
  <c r="BH19" i="1"/>
  <c r="BI19" i="1" s="1"/>
  <c r="BJ19" i="1" s="1"/>
  <c r="AQ21" i="1"/>
  <c r="AR21" i="1" s="1"/>
  <c r="AS23" i="1"/>
  <c r="AU23" i="1" s="1"/>
  <c r="AW23" i="1" s="1"/>
  <c r="AX23" i="1" s="1"/>
  <c r="AY23" i="1" s="1"/>
  <c r="AC24" i="1"/>
  <c r="AD24" i="1" s="1"/>
  <c r="AE24" i="1" s="1"/>
  <c r="AC27" i="1"/>
  <c r="AD27" i="1" s="1"/>
  <c r="AE27" i="1" s="1"/>
  <c r="BH27" i="1"/>
  <c r="BI27" i="1" s="1"/>
  <c r="BJ27" i="1" s="1"/>
  <c r="AC34" i="1"/>
  <c r="AD34" i="1" s="1"/>
  <c r="AE34" i="1" s="1"/>
  <c r="AS36" i="1"/>
  <c r="AU36" i="1" s="1"/>
  <c r="AW36" i="1" s="1"/>
  <c r="AX36" i="1" s="1"/>
  <c r="AY36" i="1" s="1"/>
  <c r="AC37" i="1"/>
  <c r="AD37" i="1" s="1"/>
  <c r="AE37" i="1" s="1"/>
  <c r="BH37" i="1"/>
  <c r="BI37" i="1" s="1"/>
  <c r="BJ37" i="1" s="1"/>
  <c r="BL37" i="1" s="1"/>
  <c r="BM37" i="1" s="1"/>
  <c r="AQ39" i="1"/>
  <c r="AR39" i="1" s="1"/>
  <c r="BA39" i="1" s="1"/>
  <c r="BB39" i="1" s="1"/>
  <c r="BD39" i="1" s="1"/>
  <c r="BE39" i="1" s="1"/>
  <c r="AC43" i="1"/>
  <c r="AD43" i="1" s="1"/>
  <c r="AE43" i="1" s="1"/>
  <c r="BK48" i="1"/>
  <c r="AN48" i="1"/>
  <c r="AQ49" i="1"/>
  <c r="AR49" i="1" s="1"/>
  <c r="AS53" i="1"/>
  <c r="AU53" i="1" s="1"/>
  <c r="AW53" i="1" s="1"/>
  <c r="AX53" i="1" s="1"/>
  <c r="AY53" i="1" s="1"/>
  <c r="AQ54" i="1"/>
  <c r="AR54" i="1" s="1"/>
  <c r="BA54" i="1" s="1"/>
  <c r="BB54" i="1" s="1"/>
  <c r="BD54" i="1" s="1"/>
  <c r="BE54" i="1" s="1"/>
  <c r="BH54" i="1"/>
  <c r="BI54" i="1" s="1"/>
  <c r="BJ54" i="1" s="1"/>
  <c r="AC56" i="1"/>
  <c r="AD56" i="1" s="1"/>
  <c r="AE56" i="1" s="1"/>
  <c r="BH56" i="1"/>
  <c r="BI56" i="1" s="1"/>
  <c r="BJ56" i="1" s="1"/>
  <c r="AC57" i="1"/>
  <c r="AD57" i="1" s="1"/>
  <c r="AE57" i="1" s="1"/>
  <c r="AQ57" i="1"/>
  <c r="AR57" i="1" s="1"/>
  <c r="BH57" i="1"/>
  <c r="BI57" i="1" s="1"/>
  <c r="BJ57" i="1" s="1"/>
  <c r="BL57" i="1" s="1"/>
  <c r="BM57" i="1" s="1"/>
  <c r="AS59" i="1"/>
  <c r="AU59" i="1" s="1"/>
  <c r="AW59" i="1" s="1"/>
  <c r="AX59" i="1" s="1"/>
  <c r="AY59" i="1" s="1"/>
  <c r="AD61" i="1"/>
  <c r="AE61" i="1" s="1"/>
  <c r="BH64" i="1"/>
  <c r="BI64" i="1" s="1"/>
  <c r="BJ64" i="1" s="1"/>
  <c r="AQ64" i="1"/>
  <c r="AR64" i="1" s="1"/>
  <c r="BA64" i="1" s="1"/>
  <c r="BB64" i="1" s="1"/>
  <c r="AN65" i="1"/>
  <c r="BC65" i="1"/>
  <c r="BH66" i="1"/>
  <c r="BI66" i="1" s="1"/>
  <c r="BJ66" i="1" s="1"/>
  <c r="AQ66" i="1"/>
  <c r="AR66" i="1" s="1"/>
  <c r="AQ67" i="1"/>
  <c r="AR67" i="1" s="1"/>
  <c r="BK73" i="1"/>
  <c r="AN73" i="1"/>
  <c r="BC73" i="1"/>
  <c r="BH75" i="1"/>
  <c r="BI75" i="1" s="1"/>
  <c r="BJ75" i="1" s="1"/>
  <c r="AQ75" i="1"/>
  <c r="AR75" i="1" s="1"/>
  <c r="BA75" i="1" s="1"/>
  <c r="BB75" i="1" s="1"/>
  <c r="AQ76" i="1"/>
  <c r="AR76" i="1" s="1"/>
  <c r="BA76" i="1" s="1"/>
  <c r="BB76" i="1" s="1"/>
  <c r="BD76" i="1" s="1"/>
  <c r="BE76" i="1" s="1"/>
  <c r="BH76" i="1"/>
  <c r="BI76" i="1" s="1"/>
  <c r="BJ76" i="1" s="1"/>
  <c r="BL76" i="1" s="1"/>
  <c r="BM76" i="1" s="1"/>
  <c r="AC77" i="1"/>
  <c r="AD77" i="1" s="1"/>
  <c r="AE77" i="1" s="1"/>
  <c r="AD80" i="1"/>
  <c r="AE80" i="1" s="1"/>
  <c r="BK82" i="1"/>
  <c r="AN82" i="1"/>
  <c r="BC82" i="1"/>
  <c r="BA92" i="1"/>
  <c r="BB92" i="1" s="1"/>
  <c r="BD92" i="1" s="1"/>
  <c r="BE92" i="1" s="1"/>
  <c r="AS94" i="1"/>
  <c r="AU94" i="1" s="1"/>
  <c r="AW94" i="1" s="1"/>
  <c r="AX94" i="1" s="1"/>
  <c r="AY94" i="1" s="1"/>
  <c r="BA99" i="1"/>
  <c r="BB99" i="1" s="1"/>
  <c r="BD99" i="1" s="1"/>
  <c r="BE99" i="1" s="1"/>
  <c r="BK103" i="1"/>
  <c r="AC106" i="1"/>
  <c r="AD106" i="1" s="1"/>
  <c r="AE106" i="1" s="1"/>
  <c r="AV108" i="1"/>
  <c r="AS108" i="1"/>
  <c r="AU108" i="1" s="1"/>
  <c r="AW108" i="1" s="1"/>
  <c r="AX108" i="1" s="1"/>
  <c r="AY108" i="1" s="1"/>
  <c r="BK115" i="1"/>
  <c r="AN115" i="1"/>
  <c r="BJ115" i="1"/>
  <c r="BJ121" i="1"/>
  <c r="AS128" i="1"/>
  <c r="AU128" i="1" s="1"/>
  <c r="AW128" i="1" s="1"/>
  <c r="AX128" i="1" s="1"/>
  <c r="AY128" i="1" s="1"/>
  <c r="BA128" i="1"/>
  <c r="BB128" i="1" s="1"/>
  <c r="AC4" i="1"/>
  <c r="AC12" i="1"/>
  <c r="AD12" i="1" s="1"/>
  <c r="AE12" i="1" s="1"/>
  <c r="AC17" i="1"/>
  <c r="AD17" i="1" s="1"/>
  <c r="AE17" i="1" s="1"/>
  <c r="BH17" i="1"/>
  <c r="BI17" i="1" s="1"/>
  <c r="BJ17" i="1" s="1"/>
  <c r="AQ19" i="1"/>
  <c r="AR19" i="1" s="1"/>
  <c r="BA19" i="1" s="1"/>
  <c r="BB19" i="1" s="1"/>
  <c r="BD19" i="1" s="1"/>
  <c r="BE19" i="1" s="1"/>
  <c r="BC19" i="1"/>
  <c r="AC22" i="1"/>
  <c r="AD22" i="1" s="1"/>
  <c r="AE22" i="1" s="1"/>
  <c r="AC25" i="1"/>
  <c r="AD25" i="1" s="1"/>
  <c r="AE25" i="1" s="1"/>
  <c r="BH25" i="1"/>
  <c r="BI25" i="1" s="1"/>
  <c r="BJ25" i="1" s="1"/>
  <c r="BL25" i="1" s="1"/>
  <c r="BM25" i="1" s="1"/>
  <c r="AQ27" i="1"/>
  <c r="AR27" i="1" s="1"/>
  <c r="BC27" i="1"/>
  <c r="AC31" i="1"/>
  <c r="AD31" i="1" s="1"/>
  <c r="AE31" i="1" s="1"/>
  <c r="AC35" i="1"/>
  <c r="AD35" i="1" s="1"/>
  <c r="AE35" i="1" s="1"/>
  <c r="BH35" i="1"/>
  <c r="BI35" i="1" s="1"/>
  <c r="BJ35" i="1" s="1"/>
  <c r="BL35" i="1" s="1"/>
  <c r="BM35" i="1" s="1"/>
  <c r="AQ37" i="1"/>
  <c r="AR37" i="1" s="1"/>
  <c r="BA37" i="1" s="1"/>
  <c r="BB37" i="1" s="1"/>
  <c r="BC37" i="1"/>
  <c r="AC40" i="1"/>
  <c r="AD40" i="1" s="1"/>
  <c r="AE40" i="1" s="1"/>
  <c r="AC44" i="1"/>
  <c r="AD44" i="1" s="1"/>
  <c r="AE44" i="1" s="1"/>
  <c r="BH44" i="1"/>
  <c r="BI44" i="1" s="1"/>
  <c r="BJ44" i="1" s="1"/>
  <c r="BH46" i="1"/>
  <c r="BI46" i="1" s="1"/>
  <c r="BJ46" i="1" s="1"/>
  <c r="BL46" i="1" s="1"/>
  <c r="BM46" i="1" s="1"/>
  <c r="AC47" i="1"/>
  <c r="AD47" i="1" s="1"/>
  <c r="AE47" i="1" s="1"/>
  <c r="AC48" i="1"/>
  <c r="AD48" i="1" s="1"/>
  <c r="AE48" i="1" s="1"/>
  <c r="AC55" i="1"/>
  <c r="AD55" i="1" s="1"/>
  <c r="AE55" i="1" s="1"/>
  <c r="BH55" i="1"/>
  <c r="BI55" i="1" s="1"/>
  <c r="BJ55" i="1" s="1"/>
  <c r="BL55" i="1" s="1"/>
  <c r="BM55" i="1" s="1"/>
  <c r="AQ56" i="1"/>
  <c r="AR56" i="1" s="1"/>
  <c r="AS61" i="1"/>
  <c r="AU61" i="1" s="1"/>
  <c r="AW61" i="1" s="1"/>
  <c r="AX61" i="1" s="1"/>
  <c r="AY61" i="1" s="1"/>
  <c r="AQ65" i="1"/>
  <c r="AR65" i="1" s="1"/>
  <c r="BK67" i="1"/>
  <c r="BC67" i="1"/>
  <c r="AQ69" i="1"/>
  <c r="AR69" i="1" s="1"/>
  <c r="BK75" i="1"/>
  <c r="AN75" i="1"/>
  <c r="BC75" i="1"/>
  <c r="BH77" i="1"/>
  <c r="BI77" i="1" s="1"/>
  <c r="BJ77" i="1" s="1"/>
  <c r="AQ77" i="1"/>
  <c r="AR77" i="1" s="1"/>
  <c r="BA77" i="1" s="1"/>
  <c r="BB77" i="1" s="1"/>
  <c r="AQ81" i="1"/>
  <c r="AR81" i="1" s="1"/>
  <c r="AN83" i="1"/>
  <c r="AC87" i="1"/>
  <c r="AD87" i="1" s="1"/>
  <c r="AE87" i="1" s="1"/>
  <c r="AS92" i="1"/>
  <c r="AU92" i="1" s="1"/>
  <c r="AW92" i="1" s="1"/>
  <c r="AX92" i="1" s="1"/>
  <c r="AY92" i="1" s="1"/>
  <c r="AS99" i="1"/>
  <c r="AU99" i="1" s="1"/>
  <c r="AW99" i="1" s="1"/>
  <c r="AX99" i="1" s="1"/>
  <c r="AY99" i="1" s="1"/>
  <c r="AV102" i="1"/>
  <c r="AN103" i="1"/>
  <c r="BC114" i="1"/>
  <c r="AN114" i="1"/>
  <c r="AN116" i="1"/>
  <c r="AC127" i="1"/>
  <c r="AD127" i="1" s="1"/>
  <c r="AE127" i="1" s="1"/>
  <c r="AS127" i="1"/>
  <c r="AU127" i="1" s="1"/>
  <c r="AW127" i="1" s="1"/>
  <c r="AX127" i="1" s="1"/>
  <c r="AY127" i="1" s="1"/>
  <c r="BI128" i="1"/>
  <c r="BJ128" i="1" s="1"/>
  <c r="AC13" i="1"/>
  <c r="AD13" i="1" s="1"/>
  <c r="AE13" i="1" s="1"/>
  <c r="BA13" i="1"/>
  <c r="BB13" i="1" s="1"/>
  <c r="BD13" i="1" s="1"/>
  <c r="BE13" i="1" s="1"/>
  <c r="BH13" i="1"/>
  <c r="BI13" i="1" s="1"/>
  <c r="BJ13" i="1" s="1"/>
  <c r="BL13" i="1" s="1"/>
  <c r="BM13" i="1" s="1"/>
  <c r="AQ17" i="1"/>
  <c r="AR17" i="1" s="1"/>
  <c r="BA17" i="1" s="1"/>
  <c r="BB17" i="1" s="1"/>
  <c r="BD17" i="1" s="1"/>
  <c r="BE17" i="1" s="1"/>
  <c r="AC20" i="1"/>
  <c r="AD20" i="1" s="1"/>
  <c r="AE20" i="1" s="1"/>
  <c r="AC23" i="1"/>
  <c r="AD23" i="1" s="1"/>
  <c r="AE23" i="1" s="1"/>
  <c r="BA23" i="1"/>
  <c r="BB23" i="1" s="1"/>
  <c r="BD23" i="1" s="1"/>
  <c r="BE23" i="1" s="1"/>
  <c r="BH23" i="1"/>
  <c r="BI23" i="1" s="1"/>
  <c r="BJ23" i="1" s="1"/>
  <c r="BL23" i="1" s="1"/>
  <c r="BM23" i="1" s="1"/>
  <c r="AQ25" i="1"/>
  <c r="AR25" i="1" s="1"/>
  <c r="AC28" i="1"/>
  <c r="AD28" i="1" s="1"/>
  <c r="AE28" i="1" s="1"/>
  <c r="AQ35" i="1"/>
  <c r="AR35" i="1" s="1"/>
  <c r="BA35" i="1" s="1"/>
  <c r="BB35" i="1" s="1"/>
  <c r="BD35" i="1" s="1"/>
  <c r="BE35" i="1" s="1"/>
  <c r="AC38" i="1"/>
  <c r="AD38" i="1" s="1"/>
  <c r="AE38" i="1" s="1"/>
  <c r="AQ44" i="1"/>
  <c r="AR44" i="1" s="1"/>
  <c r="AQ48" i="1"/>
  <c r="AR48" i="1" s="1"/>
  <c r="BC48" i="1"/>
  <c r="BA50" i="1"/>
  <c r="BB50" i="1" s="1"/>
  <c r="BD50" i="1" s="1"/>
  <c r="BE50" i="1" s="1"/>
  <c r="BK54" i="1"/>
  <c r="AN54" i="1"/>
  <c r="AQ55" i="1"/>
  <c r="AR55" i="1" s="1"/>
  <c r="BK56" i="1"/>
  <c r="AN57" i="1"/>
  <c r="BC57" i="1"/>
  <c r="BI58" i="1"/>
  <c r="BJ58" i="1" s="1"/>
  <c r="BA59" i="1"/>
  <c r="BB59" i="1" s="1"/>
  <c r="BD59" i="1" s="1"/>
  <c r="BE59" i="1" s="1"/>
  <c r="AC60" i="1"/>
  <c r="AD60" i="1" s="1"/>
  <c r="AE60" i="1" s="1"/>
  <c r="BC61" i="1"/>
  <c r="AC64" i="1"/>
  <c r="AD64" i="1" s="1"/>
  <c r="AE64" i="1" s="1"/>
  <c r="BK64" i="1"/>
  <c r="AN64" i="1"/>
  <c r="BC64" i="1"/>
  <c r="BH65" i="1"/>
  <c r="BI65" i="1" s="1"/>
  <c r="BJ65" i="1" s="1"/>
  <c r="BL65" i="1" s="1"/>
  <c r="BM65" i="1" s="1"/>
  <c r="AC66" i="1"/>
  <c r="AD66" i="1" s="1"/>
  <c r="AE66" i="1" s="1"/>
  <c r="BK66" i="1"/>
  <c r="AN66" i="1"/>
  <c r="BC66" i="1"/>
  <c r="BA66" i="1"/>
  <c r="BB66" i="1" s="1"/>
  <c r="BH67" i="1"/>
  <c r="BI67" i="1" s="1"/>
  <c r="BJ67" i="1" s="1"/>
  <c r="BK69" i="1"/>
  <c r="BC69" i="1"/>
  <c r="BI69" i="1"/>
  <c r="BJ69" i="1" s="1"/>
  <c r="AQ72" i="1"/>
  <c r="AR72" i="1" s="1"/>
  <c r="BH72" i="1"/>
  <c r="BI72" i="1" s="1"/>
  <c r="BJ72" i="1" s="1"/>
  <c r="BL72" i="1" s="1"/>
  <c r="BM72" i="1" s="1"/>
  <c r="AC73" i="1"/>
  <c r="AD73" i="1" s="1"/>
  <c r="AE73" i="1" s="1"/>
  <c r="BK77" i="1"/>
  <c r="AN77" i="1"/>
  <c r="BC77" i="1"/>
  <c r="BK81" i="1"/>
  <c r="BC81" i="1"/>
  <c r="BI81" i="1"/>
  <c r="BJ81" i="1" s="1"/>
  <c r="AQ83" i="1"/>
  <c r="AR83" i="1" s="1"/>
  <c r="AC89" i="1"/>
  <c r="AD89" i="1" s="1"/>
  <c r="AE89" i="1" s="1"/>
  <c r="AV89" i="1"/>
  <c r="BA93" i="1"/>
  <c r="BB93" i="1" s="1"/>
  <c r="BD93" i="1" s="1"/>
  <c r="BE93" i="1" s="1"/>
  <c r="AN94" i="1"/>
  <c r="BK94" i="1"/>
  <c r="AC96" i="1"/>
  <c r="AD96" i="1" s="1"/>
  <c r="AE96" i="1" s="1"/>
  <c r="BH99" i="1"/>
  <c r="BI99" i="1" s="1"/>
  <c r="BJ99" i="1" s="1"/>
  <c r="BA102" i="1"/>
  <c r="BB102" i="1" s="1"/>
  <c r="AU103" i="1"/>
  <c r="AW103" i="1" s="1"/>
  <c r="AX103" i="1" s="1"/>
  <c r="AY103" i="1" s="1"/>
  <c r="BC115" i="1"/>
  <c r="AC116" i="1"/>
  <c r="AD116" i="1" s="1"/>
  <c r="AE116" i="1" s="1"/>
  <c r="BI122" i="1"/>
  <c r="BJ122" i="1" s="1"/>
  <c r="BC124" i="1"/>
  <c r="AN124" i="1"/>
  <c r="AC128" i="1"/>
  <c r="AD128" i="1" s="1"/>
  <c r="AE128" i="1" s="1"/>
  <c r="AS130" i="1"/>
  <c r="AU130" i="1" s="1"/>
  <c r="AW130" i="1" s="1"/>
  <c r="AX130" i="1" s="1"/>
  <c r="AY130" i="1" s="1"/>
  <c r="BH88" i="1"/>
  <c r="BI88" i="1" s="1"/>
  <c r="BJ88" i="1" s="1"/>
  <c r="BL88" i="1" s="1"/>
  <c r="BM88" i="1" s="1"/>
  <c r="BH92" i="1"/>
  <c r="BI92" i="1" s="1"/>
  <c r="BJ92" i="1" s="1"/>
  <c r="BK93" i="1"/>
  <c r="BL93" i="1" s="1"/>
  <c r="BM93" i="1" s="1"/>
  <c r="AN93" i="1"/>
  <c r="BH94" i="1"/>
  <c r="BI94" i="1" s="1"/>
  <c r="BJ94" i="1" s="1"/>
  <c r="AQ95" i="1"/>
  <c r="AR95" i="1" s="1"/>
  <c r="BK99" i="1"/>
  <c r="BK100" i="1"/>
  <c r="AN100" i="1"/>
  <c r="BC100" i="1"/>
  <c r="AV129" i="1"/>
  <c r="AS129" i="1"/>
  <c r="AU129" i="1" s="1"/>
  <c r="AW129" i="1" s="1"/>
  <c r="AX129" i="1" s="1"/>
  <c r="AY129" i="1" s="1"/>
  <c r="AX38" i="1"/>
  <c r="AY38" i="1" s="1"/>
  <c r="BA61" i="1"/>
  <c r="BB61" i="1" s="1"/>
  <c r="BH61" i="1"/>
  <c r="BI61" i="1" s="1"/>
  <c r="BJ61" i="1" s="1"/>
  <c r="BL61" i="1" s="1"/>
  <c r="BM61" i="1" s="1"/>
  <c r="AQ68" i="1"/>
  <c r="AR68" i="1" s="1"/>
  <c r="AQ80" i="1"/>
  <c r="AR80" i="1" s="1"/>
  <c r="BA80" i="1" s="1"/>
  <c r="BB80" i="1" s="1"/>
  <c r="AQ82" i="1"/>
  <c r="AR82" i="1" s="1"/>
  <c r="BA82" i="1" s="1"/>
  <c r="BB82" i="1" s="1"/>
  <c r="BA86" i="1"/>
  <c r="BB86" i="1" s="1"/>
  <c r="BD86" i="1" s="1"/>
  <c r="BE86" i="1" s="1"/>
  <c r="BH86" i="1"/>
  <c r="BI86" i="1" s="1"/>
  <c r="BJ86" i="1" s="1"/>
  <c r="BL86" i="1" s="1"/>
  <c r="BM86" i="1" s="1"/>
  <c r="AQ88" i="1"/>
  <c r="AR88" i="1" s="1"/>
  <c r="BH95" i="1"/>
  <c r="BI95" i="1" s="1"/>
  <c r="BJ95" i="1" s="1"/>
  <c r="BL95" i="1" s="1"/>
  <c r="BM95" i="1" s="1"/>
  <c r="AN99" i="1"/>
  <c r="BA100" i="1"/>
  <c r="BB100" i="1" s="1"/>
  <c r="BD100" i="1" s="1"/>
  <c r="BE100" i="1" s="1"/>
  <c r="BK101" i="1"/>
  <c r="BK102" i="1"/>
  <c r="AN102" i="1"/>
  <c r="BC102" i="1"/>
  <c r="BA103" i="1"/>
  <c r="BB103" i="1" s="1"/>
  <c r="BD103" i="1" s="1"/>
  <c r="BE103" i="1" s="1"/>
  <c r="BH103" i="1"/>
  <c r="BI103" i="1" s="1"/>
  <c r="BJ103" i="1" s="1"/>
  <c r="BA106" i="1"/>
  <c r="BB106" i="1" s="1"/>
  <c r="BD106" i="1" s="1"/>
  <c r="BE106" i="1" s="1"/>
  <c r="BC108" i="1"/>
  <c r="BK110" i="1"/>
  <c r="BI114" i="1"/>
  <c r="BJ114" i="1" s="1"/>
  <c r="BL114" i="1" s="1"/>
  <c r="BM114" i="1" s="1"/>
  <c r="BA117" i="1"/>
  <c r="BB117" i="1" s="1"/>
  <c r="BD117" i="1" s="1"/>
  <c r="BE117" i="1" s="1"/>
  <c r="AV117" i="1"/>
  <c r="BH120" i="1"/>
  <c r="BI120" i="1" s="1"/>
  <c r="BJ120" i="1" s="1"/>
  <c r="BA121" i="1"/>
  <c r="BB121" i="1" s="1"/>
  <c r="AQ122" i="1"/>
  <c r="AR122" i="1" s="1"/>
  <c r="BA122" i="1" s="1"/>
  <c r="BB122" i="1" s="1"/>
  <c r="BD122" i="1" s="1"/>
  <c r="BE122" i="1" s="1"/>
  <c r="BH122" i="1"/>
  <c r="BK123" i="1"/>
  <c r="AN123" i="1"/>
  <c r="BA127" i="1"/>
  <c r="BB127" i="1" s="1"/>
  <c r="BH127" i="1"/>
  <c r="BI127" i="1" s="1"/>
  <c r="BJ127" i="1" s="1"/>
  <c r="BL127" i="1" s="1"/>
  <c r="BM127" i="1" s="1"/>
  <c r="BA108" i="1"/>
  <c r="BB108" i="1" s="1"/>
  <c r="BH108" i="1"/>
  <c r="BI108" i="1" s="1"/>
  <c r="BJ108" i="1" s="1"/>
  <c r="BL108" i="1" s="1"/>
  <c r="BM108" i="1" s="1"/>
  <c r="AQ116" i="1"/>
  <c r="AR116" i="1" s="1"/>
  <c r="BA116" i="1" s="1"/>
  <c r="BB116" i="1" s="1"/>
  <c r="BD116" i="1" s="1"/>
  <c r="BE116" i="1" s="1"/>
  <c r="BI116" i="1"/>
  <c r="BJ116" i="1" s="1"/>
  <c r="BK120" i="1"/>
  <c r="BK121" i="1"/>
  <c r="AN121" i="1"/>
  <c r="BC121" i="1"/>
  <c r="BI124" i="1"/>
  <c r="BJ124" i="1" s="1"/>
  <c r="BL124" i="1" s="1"/>
  <c r="BM124" i="1" s="1"/>
  <c r="AK139" i="1"/>
  <c r="BA129" i="1"/>
  <c r="BB129" i="1" s="1"/>
  <c r="BD129" i="1" s="1"/>
  <c r="BE129" i="1" s="1"/>
  <c r="BH129" i="1"/>
  <c r="BI129" i="1" s="1"/>
  <c r="BJ129" i="1" s="1"/>
  <c r="BL129" i="1" s="1"/>
  <c r="BM129" i="1" s="1"/>
  <c r="AX117" i="1"/>
  <c r="AY117" i="1" s="1"/>
  <c r="BD82" i="1" l="1"/>
  <c r="BE82" i="1" s="1"/>
  <c r="BL122" i="1"/>
  <c r="BM122" i="1" s="1"/>
  <c r="AV31" i="1"/>
  <c r="BL128" i="1"/>
  <c r="BM128" i="1" s="1"/>
  <c r="AV53" i="1"/>
  <c r="BL53" i="1"/>
  <c r="BM53" i="1" s="1"/>
  <c r="BA22" i="1"/>
  <c r="BB22" i="1" s="1"/>
  <c r="BD22" i="1" s="1"/>
  <c r="BE22" i="1" s="1"/>
  <c r="AV43" i="1"/>
  <c r="BL16" i="1"/>
  <c r="BM16" i="1" s="1"/>
  <c r="AS109" i="1"/>
  <c r="AU109" i="1" s="1"/>
  <c r="AW109" i="1" s="1"/>
  <c r="AX109" i="1" s="1"/>
  <c r="AY109" i="1" s="1"/>
  <c r="BA115" i="1"/>
  <c r="BB115" i="1" s="1"/>
  <c r="BD20" i="1"/>
  <c r="BE20" i="1" s="1"/>
  <c r="BL28" i="1"/>
  <c r="BM28" i="1" s="1"/>
  <c r="AS89" i="1"/>
  <c r="AU89" i="1" s="1"/>
  <c r="AW89" i="1" s="1"/>
  <c r="AX89" i="1" s="1"/>
  <c r="AY89" i="1" s="1"/>
  <c r="AV36" i="1"/>
  <c r="AS22" i="1"/>
  <c r="AU22" i="1" s="1"/>
  <c r="AW22" i="1" s="1"/>
  <c r="AX22" i="1" s="1"/>
  <c r="AY22" i="1" s="1"/>
  <c r="BD24" i="1"/>
  <c r="BE24" i="1" s="1"/>
  <c r="BA109" i="1"/>
  <c r="BB109" i="1" s="1"/>
  <c r="BD109" i="1" s="1"/>
  <c r="BE109" i="1" s="1"/>
  <c r="BL120" i="1"/>
  <c r="BM120" i="1" s="1"/>
  <c r="BL67" i="1"/>
  <c r="BM67" i="1" s="1"/>
  <c r="BL101" i="1"/>
  <c r="BM101" i="1" s="1"/>
  <c r="BD127" i="1"/>
  <c r="BE127" i="1" s="1"/>
  <c r="BD115" i="1"/>
  <c r="BE115" i="1" s="1"/>
  <c r="BL100" i="1"/>
  <c r="BM100" i="1" s="1"/>
  <c r="BL69" i="1"/>
  <c r="BM69" i="1" s="1"/>
  <c r="BD66" i="1"/>
  <c r="BE66" i="1" s="1"/>
  <c r="BL44" i="1"/>
  <c r="BM44" i="1" s="1"/>
  <c r="BD37" i="1"/>
  <c r="BE37" i="1" s="1"/>
  <c r="BL17" i="1"/>
  <c r="BM17" i="1" s="1"/>
  <c r="AS106" i="1"/>
  <c r="AU106" i="1" s="1"/>
  <c r="AW106" i="1" s="1"/>
  <c r="AX106" i="1" s="1"/>
  <c r="AY106" i="1" s="1"/>
  <c r="BL48" i="1"/>
  <c r="BM48" i="1" s="1"/>
  <c r="BL123" i="1"/>
  <c r="BM123" i="1" s="1"/>
  <c r="AV40" i="1"/>
  <c r="BA43" i="1"/>
  <c r="BB43" i="1" s="1"/>
  <c r="BD43" i="1" s="1"/>
  <c r="BE43" i="1" s="1"/>
  <c r="BL83" i="1"/>
  <c r="BM83" i="1" s="1"/>
  <c r="BL130" i="1"/>
  <c r="BM130" i="1" s="1"/>
  <c r="BL45" i="1"/>
  <c r="BM45" i="1" s="1"/>
  <c r="BD61" i="1"/>
  <c r="BE61" i="1" s="1"/>
  <c r="BL92" i="1"/>
  <c r="BM92" i="1" s="1"/>
  <c r="BD64" i="1"/>
  <c r="BE64" i="1" s="1"/>
  <c r="BL58" i="1"/>
  <c r="BM58" i="1" s="1"/>
  <c r="BL82" i="1"/>
  <c r="BM82" i="1" s="1"/>
  <c r="AS18" i="1"/>
  <c r="AU18" i="1" s="1"/>
  <c r="AW18" i="1" s="1"/>
  <c r="AX18" i="1" s="1"/>
  <c r="AY18" i="1" s="1"/>
  <c r="BL80" i="1"/>
  <c r="BM80" i="1" s="1"/>
  <c r="BD73" i="1"/>
  <c r="BE73" i="1" s="1"/>
  <c r="BL68" i="1"/>
  <c r="BM68" i="1" s="1"/>
  <c r="BA60" i="1"/>
  <c r="BB60" i="1" s="1"/>
  <c r="BD60" i="1" s="1"/>
  <c r="BE60" i="1" s="1"/>
  <c r="BL109" i="1"/>
  <c r="BM109" i="1" s="1"/>
  <c r="BL12" i="1"/>
  <c r="BM12" i="1" s="1"/>
  <c r="BL121" i="1"/>
  <c r="BM121" i="1" s="1"/>
  <c r="BL75" i="1"/>
  <c r="BM75" i="1" s="1"/>
  <c r="AN132" i="1"/>
  <c r="AV114" i="1"/>
  <c r="AS114" i="1"/>
  <c r="AU114" i="1" s="1"/>
  <c r="AW114" i="1" s="1"/>
  <c r="AX114" i="1" s="1"/>
  <c r="AY114" i="1" s="1"/>
  <c r="BA114" i="1"/>
  <c r="BB114" i="1" s="1"/>
  <c r="BD114" i="1" s="1"/>
  <c r="BE114" i="1" s="1"/>
  <c r="AV124" i="1"/>
  <c r="AS124" i="1"/>
  <c r="AU124" i="1" s="1"/>
  <c r="AW124" i="1" s="1"/>
  <c r="AX124" i="1" s="1"/>
  <c r="AY124" i="1" s="1"/>
  <c r="BL103" i="1"/>
  <c r="BM103" i="1" s="1"/>
  <c r="BL102" i="1"/>
  <c r="BM102" i="1" s="1"/>
  <c r="BL99" i="1"/>
  <c r="BM99" i="1" s="1"/>
  <c r="AS45" i="1"/>
  <c r="AU45" i="1" s="1"/>
  <c r="AW45" i="1" s="1"/>
  <c r="AX45" i="1" s="1"/>
  <c r="AY45" i="1" s="1"/>
  <c r="BL27" i="1"/>
  <c r="BM27" i="1" s="1"/>
  <c r="AV45" i="1"/>
  <c r="AS28" i="1"/>
  <c r="AU28" i="1" s="1"/>
  <c r="AW28" i="1" s="1"/>
  <c r="AX28" i="1" s="1"/>
  <c r="AY28" i="1" s="1"/>
  <c r="AS31" i="1"/>
  <c r="AU31" i="1" s="1"/>
  <c r="AW31" i="1" s="1"/>
  <c r="AX31" i="1" s="1"/>
  <c r="AY31" i="1" s="1"/>
  <c r="AV58" i="1"/>
  <c r="BA58" i="1"/>
  <c r="BB58" i="1" s="1"/>
  <c r="BD58" i="1" s="1"/>
  <c r="BE58" i="1" s="1"/>
  <c r="AS123" i="1"/>
  <c r="AU123" i="1" s="1"/>
  <c r="AW123" i="1" s="1"/>
  <c r="AX123" i="1" s="1"/>
  <c r="AY123" i="1" s="1"/>
  <c r="AV123" i="1"/>
  <c r="BA124" i="1"/>
  <c r="BB124" i="1" s="1"/>
  <c r="BD124" i="1" s="1"/>
  <c r="BE124" i="1" s="1"/>
  <c r="BL116" i="1"/>
  <c r="BM116" i="1" s="1"/>
  <c r="BD121" i="1"/>
  <c r="BE121" i="1" s="1"/>
  <c r="BL81" i="1"/>
  <c r="BM81" i="1" s="1"/>
  <c r="AS58" i="1"/>
  <c r="AU58" i="1" s="1"/>
  <c r="AW58" i="1" s="1"/>
  <c r="AX58" i="1" s="1"/>
  <c r="AY58" i="1" s="1"/>
  <c r="BD128" i="1"/>
  <c r="BE128" i="1" s="1"/>
  <c r="AV115" i="1"/>
  <c r="BD34" i="1"/>
  <c r="BE34" i="1" s="1"/>
  <c r="BA28" i="1"/>
  <c r="BB28" i="1" s="1"/>
  <c r="BD28" i="1" s="1"/>
  <c r="BE28" i="1" s="1"/>
  <c r="AV107" i="1"/>
  <c r="BL34" i="1"/>
  <c r="BM34" i="1" s="1"/>
  <c r="BL87" i="1"/>
  <c r="BM87" i="1" s="1"/>
  <c r="BL26" i="1"/>
  <c r="BM26" i="1" s="1"/>
  <c r="AS26" i="1"/>
  <c r="AU26" i="1" s="1"/>
  <c r="AW26" i="1" s="1"/>
  <c r="AX26" i="1" s="1"/>
  <c r="AY26" i="1" s="1"/>
  <c r="BL19" i="1"/>
  <c r="BM19" i="1" s="1"/>
  <c r="BD47" i="1"/>
  <c r="BE47" i="1" s="1"/>
  <c r="BA111" i="1"/>
  <c r="BB111" i="1" s="1"/>
  <c r="BD111" i="1" s="1"/>
  <c r="BE111" i="1" s="1"/>
  <c r="AV111" i="1"/>
  <c r="BL43" i="1"/>
  <c r="BM43" i="1" s="1"/>
  <c r="BA123" i="1"/>
  <c r="BB123" i="1" s="1"/>
  <c r="BD123" i="1" s="1"/>
  <c r="BE123" i="1" s="1"/>
  <c r="BA130" i="1"/>
  <c r="BB130" i="1" s="1"/>
  <c r="BD130" i="1" s="1"/>
  <c r="BE130" i="1" s="1"/>
  <c r="AV130" i="1"/>
  <c r="BL59" i="1"/>
  <c r="BM59" i="1" s="1"/>
  <c r="BL36" i="1"/>
  <c r="BM36" i="1" s="1"/>
  <c r="BL22" i="1"/>
  <c r="BM22" i="1" s="1"/>
  <c r="BA96" i="1"/>
  <c r="BB96" i="1" s="1"/>
  <c r="BD96" i="1" s="1"/>
  <c r="BE96" i="1" s="1"/>
  <c r="AS96" i="1"/>
  <c r="AU96" i="1" s="1"/>
  <c r="AW96" i="1" s="1"/>
  <c r="AX96" i="1" s="1"/>
  <c r="AY96" i="1" s="1"/>
  <c r="AV96" i="1"/>
  <c r="AH116" i="1"/>
  <c r="AK116" i="1" s="1"/>
  <c r="AG116" i="1"/>
  <c r="AI116" i="1"/>
  <c r="AI73" i="1"/>
  <c r="AH73" i="1"/>
  <c r="AK73" i="1" s="1"/>
  <c r="AG73" i="1"/>
  <c r="AH55" i="1"/>
  <c r="AK55" i="1" s="1"/>
  <c r="AI55" i="1"/>
  <c r="AG55" i="1"/>
  <c r="AJ55" i="1" s="1"/>
  <c r="AH35" i="1"/>
  <c r="AK35" i="1" s="1"/>
  <c r="AI35" i="1"/>
  <c r="AG35" i="1"/>
  <c r="AI75" i="1"/>
  <c r="AH75" i="1"/>
  <c r="AK75" i="1" s="1"/>
  <c r="AG75" i="1"/>
  <c r="AI64" i="1"/>
  <c r="AH64" i="1"/>
  <c r="AK64" i="1" s="1"/>
  <c r="AG64" i="1"/>
  <c r="AH23" i="1"/>
  <c r="AK23" i="1" s="1"/>
  <c r="AI23" i="1"/>
  <c r="AG23" i="1"/>
  <c r="AJ23" i="1" s="1"/>
  <c r="AH25" i="1"/>
  <c r="AK25" i="1" s="1"/>
  <c r="AI25" i="1"/>
  <c r="AG25" i="1"/>
  <c r="AH56" i="1"/>
  <c r="AK56" i="1" s="1"/>
  <c r="AI56" i="1"/>
  <c r="AG56" i="1"/>
  <c r="AH19" i="1"/>
  <c r="AK19" i="1" s="1"/>
  <c r="AI19" i="1"/>
  <c r="AG19" i="1"/>
  <c r="AI68" i="1"/>
  <c r="AH68" i="1"/>
  <c r="AK68" i="1" s="1"/>
  <c r="AG68" i="1"/>
  <c r="AG65" i="1"/>
  <c r="AI65" i="1"/>
  <c r="AH65" i="1"/>
  <c r="AK65" i="1" s="1"/>
  <c r="AG92" i="1"/>
  <c r="AI92" i="1"/>
  <c r="AH92" i="1"/>
  <c r="AK92" i="1" s="1"/>
  <c r="AH108" i="1"/>
  <c r="AK108" i="1" s="1"/>
  <c r="AI108" i="1"/>
  <c r="AG108" i="1"/>
  <c r="AI123" i="1"/>
  <c r="AH123" i="1"/>
  <c r="AK123" i="1" s="1"/>
  <c r="AG123" i="1"/>
  <c r="AG124" i="1"/>
  <c r="AH124" i="1"/>
  <c r="AK124" i="1" s="1"/>
  <c r="AI124" i="1"/>
  <c r="AH13" i="1"/>
  <c r="AK13" i="1" s="1"/>
  <c r="AI13" i="1"/>
  <c r="AG13" i="1"/>
  <c r="AI48" i="1"/>
  <c r="AH48" i="1"/>
  <c r="AK48" i="1" s="1"/>
  <c r="AG48" i="1"/>
  <c r="AH44" i="1"/>
  <c r="AK44" i="1" s="1"/>
  <c r="AI44" i="1"/>
  <c r="AG44" i="1"/>
  <c r="AJ44" i="1" s="1"/>
  <c r="AI77" i="1"/>
  <c r="AG77" i="1"/>
  <c r="AH77" i="1"/>
  <c r="AK77" i="1" s="1"/>
  <c r="AH37" i="1"/>
  <c r="AK37" i="1" s="1"/>
  <c r="AI37" i="1"/>
  <c r="AG37" i="1"/>
  <c r="AH27" i="1"/>
  <c r="AK27" i="1" s="1"/>
  <c r="AI27" i="1"/>
  <c r="AG27" i="1"/>
  <c r="AG67" i="1"/>
  <c r="AI67" i="1"/>
  <c r="AH67" i="1"/>
  <c r="AK67" i="1" s="1"/>
  <c r="AG94" i="1"/>
  <c r="AI94" i="1"/>
  <c r="AH94" i="1"/>
  <c r="AK94" i="1" s="1"/>
  <c r="AI66" i="1"/>
  <c r="AH66" i="1"/>
  <c r="AK66" i="1" s="1"/>
  <c r="AG66" i="1"/>
  <c r="AH17" i="1"/>
  <c r="AK17" i="1" s="1"/>
  <c r="AI17" i="1"/>
  <c r="AG17" i="1"/>
  <c r="AH57" i="1"/>
  <c r="AK57" i="1" s="1"/>
  <c r="AI57" i="1"/>
  <c r="AG57" i="1"/>
  <c r="AJ57" i="1" s="1"/>
  <c r="AH21" i="1"/>
  <c r="AK21" i="1" s="1"/>
  <c r="AG21" i="1"/>
  <c r="AI21" i="1"/>
  <c r="AG46" i="1"/>
  <c r="AI46" i="1"/>
  <c r="AH46" i="1"/>
  <c r="AK46" i="1" s="1"/>
  <c r="AH110" i="1"/>
  <c r="AK110" i="1" s="1"/>
  <c r="AI110" i="1"/>
  <c r="AG110" i="1"/>
  <c r="AG69" i="1"/>
  <c r="AH69" i="1"/>
  <c r="AK69" i="1" s="1"/>
  <c r="AI69" i="1"/>
  <c r="AI100" i="1"/>
  <c r="AH100" i="1"/>
  <c r="AK100" i="1" s="1"/>
  <c r="AG100" i="1"/>
  <c r="AG120" i="1"/>
  <c r="AI120" i="1"/>
  <c r="AH120" i="1"/>
  <c r="AK120" i="1" s="1"/>
  <c r="AH127" i="1"/>
  <c r="AK127" i="1" s="1"/>
  <c r="AG127" i="1"/>
  <c r="AI127" i="1"/>
  <c r="AH106" i="1"/>
  <c r="AK106" i="1" s="1"/>
  <c r="AG106" i="1"/>
  <c r="AI106" i="1"/>
  <c r="AV95" i="1"/>
  <c r="AS95" i="1"/>
  <c r="AU95" i="1" s="1"/>
  <c r="AW95" i="1" s="1"/>
  <c r="AX95" i="1" s="1"/>
  <c r="AY95" i="1" s="1"/>
  <c r="AH86" i="1"/>
  <c r="AK86" i="1" s="1"/>
  <c r="AI86" i="1"/>
  <c r="AG86" i="1"/>
  <c r="AI102" i="1"/>
  <c r="AH102" i="1"/>
  <c r="AK102" i="1" s="1"/>
  <c r="AG102" i="1"/>
  <c r="AS72" i="1"/>
  <c r="AU72" i="1" s="1"/>
  <c r="AW72" i="1" s="1"/>
  <c r="AX72" i="1" s="1"/>
  <c r="AY72" i="1" s="1"/>
  <c r="AV72" i="1"/>
  <c r="AH49" i="1"/>
  <c r="AK49" i="1" s="1"/>
  <c r="AG49" i="1"/>
  <c r="AI49" i="1"/>
  <c r="AV44" i="1"/>
  <c r="AS44" i="1"/>
  <c r="AU44" i="1" s="1"/>
  <c r="AW44" i="1" s="1"/>
  <c r="AX44" i="1" s="1"/>
  <c r="AY44" i="1" s="1"/>
  <c r="BA44" i="1"/>
  <c r="BB44" i="1" s="1"/>
  <c r="BD44" i="1" s="1"/>
  <c r="BE44" i="1" s="1"/>
  <c r="AI80" i="1"/>
  <c r="AH80" i="1"/>
  <c r="AK80" i="1" s="1"/>
  <c r="AG80" i="1"/>
  <c r="AH61" i="1"/>
  <c r="AK61" i="1" s="1"/>
  <c r="AI61" i="1"/>
  <c r="AG61" i="1"/>
  <c r="AV57" i="1"/>
  <c r="AS57" i="1"/>
  <c r="AU57" i="1" s="1"/>
  <c r="AW57" i="1" s="1"/>
  <c r="AX57" i="1" s="1"/>
  <c r="AY57" i="1" s="1"/>
  <c r="AI43" i="1"/>
  <c r="AH43" i="1"/>
  <c r="AK43" i="1" s="1"/>
  <c r="AG43" i="1"/>
  <c r="AI34" i="1"/>
  <c r="AH34" i="1"/>
  <c r="AK34" i="1" s="1"/>
  <c r="AG34" i="1"/>
  <c r="AI16" i="1"/>
  <c r="AH16" i="1"/>
  <c r="AK16" i="1" s="1"/>
  <c r="AG16" i="1"/>
  <c r="AV110" i="1"/>
  <c r="AS110" i="1"/>
  <c r="AU110" i="1" s="1"/>
  <c r="AW110" i="1" s="1"/>
  <c r="AX110" i="1" s="1"/>
  <c r="AY110" i="1" s="1"/>
  <c r="AG101" i="1"/>
  <c r="AI101" i="1"/>
  <c r="AH101" i="1"/>
  <c r="AK101" i="1" s="1"/>
  <c r="AH88" i="1"/>
  <c r="AK88" i="1" s="1"/>
  <c r="AI88" i="1"/>
  <c r="AG88" i="1"/>
  <c r="AS74" i="1"/>
  <c r="AU74" i="1" s="1"/>
  <c r="AW74" i="1" s="1"/>
  <c r="AX74" i="1" s="1"/>
  <c r="AY74" i="1" s="1"/>
  <c r="AV74" i="1"/>
  <c r="AI36" i="1"/>
  <c r="AH36" i="1"/>
  <c r="AK36" i="1" s="1"/>
  <c r="AG36" i="1"/>
  <c r="AI26" i="1"/>
  <c r="AH26" i="1"/>
  <c r="AK26" i="1" s="1"/>
  <c r="AG26" i="1"/>
  <c r="AI109" i="1"/>
  <c r="AH109" i="1"/>
  <c r="AK109" i="1" s="1"/>
  <c r="AG109" i="1"/>
  <c r="AG58" i="1"/>
  <c r="AI58" i="1"/>
  <c r="AH58" i="1"/>
  <c r="AK58" i="1" s="1"/>
  <c r="AH95" i="1"/>
  <c r="AK95" i="1" s="1"/>
  <c r="AI95" i="1"/>
  <c r="AG95" i="1"/>
  <c r="AG74" i="1"/>
  <c r="AH74" i="1"/>
  <c r="AK74" i="1" s="1"/>
  <c r="AI74" i="1"/>
  <c r="AG83" i="1"/>
  <c r="AI83" i="1"/>
  <c r="AH83" i="1"/>
  <c r="AK83" i="1" s="1"/>
  <c r="BA95" i="1"/>
  <c r="BB95" i="1" s="1"/>
  <c r="BD95" i="1" s="1"/>
  <c r="BE95" i="1" s="1"/>
  <c r="AH128" i="1"/>
  <c r="AK128" i="1" s="1"/>
  <c r="AG128" i="1"/>
  <c r="AI128" i="1"/>
  <c r="AH39" i="1"/>
  <c r="AK39" i="1" s="1"/>
  <c r="AG39" i="1"/>
  <c r="AI39" i="1"/>
  <c r="AV35" i="1"/>
  <c r="AS35" i="1"/>
  <c r="AU35" i="1" s="1"/>
  <c r="AW35" i="1" s="1"/>
  <c r="AX35" i="1" s="1"/>
  <c r="AY35" i="1" s="1"/>
  <c r="AV25" i="1"/>
  <c r="AS25" i="1"/>
  <c r="AU25" i="1" s="1"/>
  <c r="AW25" i="1" s="1"/>
  <c r="AX25" i="1" s="1"/>
  <c r="AY25" i="1" s="1"/>
  <c r="AV17" i="1"/>
  <c r="AS17" i="1"/>
  <c r="AU17" i="1" s="1"/>
  <c r="AW17" i="1" s="1"/>
  <c r="AX17" i="1" s="1"/>
  <c r="AY17" i="1" s="1"/>
  <c r="BL94" i="1"/>
  <c r="BM94" i="1" s="1"/>
  <c r="AI82" i="1"/>
  <c r="AH82" i="1"/>
  <c r="AK82" i="1" s="1"/>
  <c r="AG82" i="1"/>
  <c r="BD77" i="1"/>
  <c r="BE77" i="1" s="1"/>
  <c r="AV56" i="1"/>
  <c r="AS56" i="1"/>
  <c r="AU56" i="1" s="1"/>
  <c r="AW56" i="1" s="1"/>
  <c r="AX56" i="1" s="1"/>
  <c r="AY56" i="1" s="1"/>
  <c r="AH47" i="1"/>
  <c r="AK47" i="1" s="1"/>
  <c r="AG47" i="1"/>
  <c r="AI47" i="1"/>
  <c r="AV27" i="1"/>
  <c r="AS27" i="1"/>
  <c r="AU27" i="1" s="1"/>
  <c r="AW27" i="1" s="1"/>
  <c r="AX27" i="1" s="1"/>
  <c r="AY27" i="1" s="1"/>
  <c r="AS76" i="1"/>
  <c r="AU76" i="1" s="1"/>
  <c r="AW76" i="1" s="1"/>
  <c r="AX76" i="1" s="1"/>
  <c r="AY76" i="1" s="1"/>
  <c r="AV76" i="1"/>
  <c r="AS66" i="1"/>
  <c r="AU66" i="1" s="1"/>
  <c r="AW66" i="1" s="1"/>
  <c r="AX66" i="1" s="1"/>
  <c r="AY66" i="1" s="1"/>
  <c r="AV66" i="1"/>
  <c r="AV49" i="1"/>
  <c r="AS49" i="1"/>
  <c r="AU49" i="1" s="1"/>
  <c r="AW49" i="1" s="1"/>
  <c r="AX49" i="1" s="1"/>
  <c r="AY49" i="1" s="1"/>
  <c r="AH129" i="1"/>
  <c r="AK129" i="1" s="1"/>
  <c r="AI129" i="1"/>
  <c r="AG129" i="1"/>
  <c r="BA110" i="1"/>
  <c r="BB110" i="1" s="1"/>
  <c r="BD110" i="1" s="1"/>
  <c r="BE110" i="1" s="1"/>
  <c r="BA57" i="1"/>
  <c r="BB57" i="1" s="1"/>
  <c r="BD57" i="1" s="1"/>
  <c r="BE57" i="1" s="1"/>
  <c r="AI54" i="1"/>
  <c r="AG54" i="1"/>
  <c r="AH54" i="1"/>
  <c r="AK54" i="1" s="1"/>
  <c r="AI45" i="1"/>
  <c r="AH45" i="1"/>
  <c r="AK45" i="1" s="1"/>
  <c r="AG45" i="1"/>
  <c r="AI117" i="1"/>
  <c r="AH117" i="1"/>
  <c r="AK117" i="1" s="1"/>
  <c r="AG117" i="1"/>
  <c r="AH107" i="1"/>
  <c r="AK107" i="1" s="1"/>
  <c r="AI107" i="1"/>
  <c r="AG107" i="1"/>
  <c r="AJ107" i="1" s="1"/>
  <c r="AG76" i="1"/>
  <c r="AH76" i="1"/>
  <c r="AK76" i="1" s="1"/>
  <c r="AI76" i="1"/>
  <c r="AI115" i="1"/>
  <c r="AH115" i="1"/>
  <c r="AK115" i="1" s="1"/>
  <c r="AG115" i="1"/>
  <c r="AG103" i="1"/>
  <c r="AI103" i="1"/>
  <c r="AH103" i="1"/>
  <c r="AK103" i="1" s="1"/>
  <c r="AG81" i="1"/>
  <c r="AH81" i="1"/>
  <c r="AK81" i="1" s="1"/>
  <c r="AI81" i="1"/>
  <c r="AS122" i="1"/>
  <c r="AU122" i="1" s="1"/>
  <c r="AW122" i="1" s="1"/>
  <c r="AX122" i="1" s="1"/>
  <c r="AY122" i="1" s="1"/>
  <c r="AV122" i="1"/>
  <c r="AS82" i="1"/>
  <c r="AU82" i="1" s="1"/>
  <c r="AW82" i="1" s="1"/>
  <c r="AX82" i="1" s="1"/>
  <c r="AY82" i="1" s="1"/>
  <c r="AV82" i="1"/>
  <c r="AH59" i="1"/>
  <c r="AK59" i="1" s="1"/>
  <c r="AG59" i="1"/>
  <c r="AI59" i="1"/>
  <c r="BD80" i="1"/>
  <c r="BE80" i="1" s="1"/>
  <c r="AH60" i="1"/>
  <c r="AK60" i="1" s="1"/>
  <c r="AI60" i="1"/>
  <c r="AG60" i="1"/>
  <c r="AV55" i="1"/>
  <c r="AS55" i="1"/>
  <c r="AU55" i="1" s="1"/>
  <c r="AW55" i="1" s="1"/>
  <c r="AX55" i="1" s="1"/>
  <c r="AY55" i="1" s="1"/>
  <c r="AS48" i="1"/>
  <c r="AU48" i="1" s="1"/>
  <c r="AW48" i="1" s="1"/>
  <c r="AX48" i="1" s="1"/>
  <c r="AY48" i="1" s="1"/>
  <c r="AV48" i="1"/>
  <c r="AG38" i="1"/>
  <c r="AI38" i="1"/>
  <c r="AH38" i="1"/>
  <c r="AK38" i="1" s="1"/>
  <c r="AG28" i="1"/>
  <c r="AI28" i="1"/>
  <c r="AH28" i="1"/>
  <c r="AK28" i="1" s="1"/>
  <c r="AG20" i="1"/>
  <c r="AI20" i="1"/>
  <c r="AH20" i="1"/>
  <c r="AK20" i="1" s="1"/>
  <c r="AH11" i="1"/>
  <c r="AK11" i="1" s="1"/>
  <c r="AG11" i="1"/>
  <c r="AI11" i="1"/>
  <c r="AS77" i="1"/>
  <c r="AU77" i="1" s="1"/>
  <c r="AW77" i="1" s="1"/>
  <c r="AX77" i="1" s="1"/>
  <c r="AY77" i="1" s="1"/>
  <c r="AV77" i="1"/>
  <c r="AS69" i="1"/>
  <c r="AU69" i="1" s="1"/>
  <c r="AW69" i="1" s="1"/>
  <c r="AX69" i="1" s="1"/>
  <c r="AY69" i="1" s="1"/>
  <c r="BA69" i="1"/>
  <c r="BB69" i="1" s="1"/>
  <c r="BD69" i="1" s="1"/>
  <c r="BE69" i="1" s="1"/>
  <c r="AV69" i="1"/>
  <c r="AS65" i="1"/>
  <c r="AU65" i="1" s="1"/>
  <c r="AW65" i="1" s="1"/>
  <c r="AX65" i="1" s="1"/>
  <c r="AY65" i="1" s="1"/>
  <c r="AV65" i="1"/>
  <c r="AH40" i="1"/>
  <c r="AK40" i="1" s="1"/>
  <c r="AG40" i="1"/>
  <c r="AI40" i="1"/>
  <c r="AV37" i="1"/>
  <c r="AS37" i="1"/>
  <c r="AU37" i="1" s="1"/>
  <c r="AW37" i="1" s="1"/>
  <c r="AX37" i="1" s="1"/>
  <c r="AY37" i="1" s="1"/>
  <c r="AH31" i="1"/>
  <c r="AK31" i="1" s="1"/>
  <c r="AG31" i="1"/>
  <c r="AI31" i="1"/>
  <c r="AH22" i="1"/>
  <c r="AK22" i="1" s="1"/>
  <c r="AG22" i="1"/>
  <c r="AI22" i="1"/>
  <c r="AV19" i="1"/>
  <c r="AS19" i="1"/>
  <c r="AU19" i="1" s="1"/>
  <c r="AW19" i="1" s="1"/>
  <c r="AX19" i="1" s="1"/>
  <c r="AY19" i="1" s="1"/>
  <c r="AI121" i="1"/>
  <c r="AH121" i="1"/>
  <c r="AK121" i="1" s="1"/>
  <c r="AG121" i="1"/>
  <c r="BL110" i="1"/>
  <c r="BM110" i="1" s="1"/>
  <c r="BD75" i="1"/>
  <c r="BE75" i="1" s="1"/>
  <c r="BL66" i="1"/>
  <c r="BM66" i="1" s="1"/>
  <c r="AS64" i="1"/>
  <c r="AU64" i="1" s="1"/>
  <c r="AW64" i="1" s="1"/>
  <c r="AX64" i="1" s="1"/>
  <c r="AY64" i="1" s="1"/>
  <c r="AV64" i="1"/>
  <c r="BA56" i="1"/>
  <c r="BB56" i="1" s="1"/>
  <c r="BD56" i="1" s="1"/>
  <c r="BE56" i="1" s="1"/>
  <c r="BL54" i="1"/>
  <c r="BM54" i="1" s="1"/>
  <c r="AV39" i="1"/>
  <c r="AS39" i="1"/>
  <c r="AU39" i="1" s="1"/>
  <c r="AW39" i="1" s="1"/>
  <c r="AX39" i="1" s="1"/>
  <c r="AY39" i="1" s="1"/>
  <c r="AV21" i="1"/>
  <c r="AS21" i="1"/>
  <c r="AU21" i="1" s="1"/>
  <c r="AW21" i="1" s="1"/>
  <c r="AX21" i="1" s="1"/>
  <c r="AY21" i="1" s="1"/>
  <c r="AS73" i="1"/>
  <c r="AU73" i="1" s="1"/>
  <c r="AW73" i="1" s="1"/>
  <c r="AX73" i="1" s="1"/>
  <c r="AY73" i="1" s="1"/>
  <c r="AV73" i="1"/>
  <c r="BA49" i="1"/>
  <c r="BB49" i="1" s="1"/>
  <c r="BD49" i="1" s="1"/>
  <c r="BE49" i="1" s="1"/>
  <c r="BE11" i="1"/>
  <c r="AI130" i="1"/>
  <c r="AH130" i="1"/>
  <c r="AK130" i="1" s="1"/>
  <c r="AG130" i="1"/>
  <c r="AG114" i="1"/>
  <c r="AH114" i="1"/>
  <c r="AK114" i="1" s="1"/>
  <c r="AI114" i="1"/>
  <c r="AV116" i="1"/>
  <c r="AS116" i="1"/>
  <c r="AU116" i="1" s="1"/>
  <c r="AW116" i="1" s="1"/>
  <c r="AX116" i="1" s="1"/>
  <c r="AY116" i="1" s="1"/>
  <c r="BD108" i="1"/>
  <c r="BE108" i="1" s="1"/>
  <c r="AV88" i="1"/>
  <c r="AS88" i="1"/>
  <c r="AU88" i="1" s="1"/>
  <c r="AW88" i="1" s="1"/>
  <c r="AX88" i="1" s="1"/>
  <c r="AY88" i="1" s="1"/>
  <c r="AS80" i="1"/>
  <c r="AU80" i="1" s="1"/>
  <c r="AW80" i="1" s="1"/>
  <c r="AX80" i="1" s="1"/>
  <c r="AY80" i="1" s="1"/>
  <c r="AV80" i="1"/>
  <c r="AS68" i="1"/>
  <c r="AU68" i="1" s="1"/>
  <c r="AW68" i="1" s="1"/>
  <c r="AX68" i="1" s="1"/>
  <c r="AY68" i="1" s="1"/>
  <c r="AV68" i="1"/>
  <c r="BA88" i="1"/>
  <c r="BB88" i="1" s="1"/>
  <c r="BD88" i="1" s="1"/>
  <c r="BE88" i="1" s="1"/>
  <c r="BA68" i="1"/>
  <c r="BB68" i="1" s="1"/>
  <c r="BD68" i="1" s="1"/>
  <c r="BE68" i="1" s="1"/>
  <c r="BD102" i="1"/>
  <c r="BE102" i="1" s="1"/>
  <c r="AI96" i="1"/>
  <c r="AH96" i="1"/>
  <c r="AK96" i="1" s="1"/>
  <c r="AG96" i="1"/>
  <c r="AI89" i="1"/>
  <c r="AH89" i="1"/>
  <c r="AK89" i="1" s="1"/>
  <c r="AG89" i="1"/>
  <c r="AS83" i="1"/>
  <c r="AU83" i="1" s="1"/>
  <c r="AW83" i="1" s="1"/>
  <c r="AX83" i="1" s="1"/>
  <c r="AY83" i="1" s="1"/>
  <c r="BA83" i="1"/>
  <c r="BB83" i="1" s="1"/>
  <c r="BD83" i="1" s="1"/>
  <c r="BE83" i="1" s="1"/>
  <c r="AV83" i="1"/>
  <c r="BA72" i="1"/>
  <c r="BB72" i="1" s="1"/>
  <c r="BD72" i="1" s="1"/>
  <c r="BE72" i="1" s="1"/>
  <c r="BA65" i="1"/>
  <c r="BB65" i="1" s="1"/>
  <c r="BD65" i="1" s="1"/>
  <c r="BE65" i="1" s="1"/>
  <c r="AI87" i="1"/>
  <c r="AH87" i="1"/>
  <c r="AK87" i="1" s="1"/>
  <c r="AG87" i="1"/>
  <c r="AS81" i="1"/>
  <c r="AU81" i="1" s="1"/>
  <c r="AW81" i="1" s="1"/>
  <c r="AX81" i="1" s="1"/>
  <c r="AY81" i="1" s="1"/>
  <c r="BA81" i="1"/>
  <c r="BB81" i="1" s="1"/>
  <c r="BD81" i="1" s="1"/>
  <c r="BE81" i="1" s="1"/>
  <c r="AV81" i="1"/>
  <c r="BL77" i="1"/>
  <c r="BM77" i="1" s="1"/>
  <c r="BA55" i="1"/>
  <c r="BB55" i="1" s="1"/>
  <c r="BD55" i="1" s="1"/>
  <c r="BE55" i="1" s="1"/>
  <c r="BA48" i="1"/>
  <c r="BB48" i="1" s="1"/>
  <c r="BD48" i="1" s="1"/>
  <c r="BE48" i="1" s="1"/>
  <c r="BA25" i="1"/>
  <c r="BB25" i="1" s="1"/>
  <c r="BD25" i="1" s="1"/>
  <c r="BE25" i="1" s="1"/>
  <c r="AH12" i="1"/>
  <c r="AK12" i="1" s="1"/>
  <c r="AG12" i="1"/>
  <c r="AI12" i="1"/>
  <c r="BL115" i="1"/>
  <c r="BM115" i="1" s="1"/>
  <c r="AG99" i="1"/>
  <c r="AH99" i="1"/>
  <c r="AK99" i="1" s="1"/>
  <c r="AI99" i="1"/>
  <c r="AS75" i="1"/>
  <c r="AU75" i="1" s="1"/>
  <c r="AW75" i="1" s="1"/>
  <c r="AX75" i="1" s="1"/>
  <c r="AY75" i="1" s="1"/>
  <c r="AV75" i="1"/>
  <c r="AS67" i="1"/>
  <c r="AU67" i="1" s="1"/>
  <c r="AW67" i="1" s="1"/>
  <c r="AX67" i="1" s="1"/>
  <c r="AY67" i="1" s="1"/>
  <c r="AV67" i="1"/>
  <c r="BA67" i="1"/>
  <c r="BB67" i="1" s="1"/>
  <c r="BD67" i="1" s="1"/>
  <c r="BE67" i="1" s="1"/>
  <c r="BL64" i="1"/>
  <c r="BM64" i="1" s="1"/>
  <c r="BL56" i="1"/>
  <c r="BM56" i="1" s="1"/>
  <c r="AS54" i="1"/>
  <c r="AU54" i="1" s="1"/>
  <c r="AW54" i="1" s="1"/>
  <c r="AX54" i="1" s="1"/>
  <c r="AY54" i="1" s="1"/>
  <c r="AV54" i="1"/>
  <c r="BA27" i="1"/>
  <c r="BB27" i="1" s="1"/>
  <c r="BD27" i="1" s="1"/>
  <c r="BE27" i="1" s="1"/>
  <c r="AI24" i="1"/>
  <c r="AH24" i="1"/>
  <c r="AK24" i="1" s="1"/>
  <c r="AG24" i="1"/>
  <c r="AV11" i="1"/>
  <c r="AS11" i="1"/>
  <c r="AU11" i="1" s="1"/>
  <c r="AW11" i="1" s="1"/>
  <c r="AX11" i="1" s="1"/>
  <c r="AY11" i="1" s="1"/>
  <c r="AS101" i="1"/>
  <c r="AU101" i="1" s="1"/>
  <c r="AW101" i="1" s="1"/>
  <c r="AX101" i="1" s="1"/>
  <c r="AY101" i="1" s="1"/>
  <c r="AV101" i="1"/>
  <c r="BA74" i="1"/>
  <c r="BB74" i="1" s="1"/>
  <c r="BD74" i="1" s="1"/>
  <c r="BE74" i="1" s="1"/>
  <c r="BL73" i="1"/>
  <c r="BM73" i="1" s="1"/>
  <c r="AI53" i="1"/>
  <c r="AH53" i="1"/>
  <c r="AK53" i="1" s="1"/>
  <c r="AG53" i="1"/>
  <c r="BA21" i="1"/>
  <c r="BB21" i="1" s="1"/>
  <c r="BD21" i="1" s="1"/>
  <c r="BE21" i="1" s="1"/>
  <c r="AI18" i="1"/>
  <c r="AH18" i="1"/>
  <c r="AK18" i="1" s="1"/>
  <c r="AG18" i="1"/>
  <c r="AG50" i="1"/>
  <c r="AH50" i="1"/>
  <c r="AK50" i="1" s="1"/>
  <c r="AI50" i="1"/>
  <c r="AI93" i="1"/>
  <c r="AH93" i="1"/>
  <c r="AK93" i="1" s="1"/>
  <c r="AG93" i="1"/>
  <c r="AG111" i="1"/>
  <c r="AI111" i="1"/>
  <c r="AH111" i="1"/>
  <c r="AK111" i="1" s="1"/>
  <c r="AG72" i="1"/>
  <c r="AH72" i="1"/>
  <c r="AK72" i="1" s="1"/>
  <c r="AI72" i="1"/>
  <c r="AG122" i="1"/>
  <c r="AI122" i="1"/>
  <c r="AH122" i="1"/>
  <c r="AK122" i="1" s="1"/>
  <c r="AJ50" i="1" l="1"/>
  <c r="AJ96" i="1"/>
  <c r="AL96" i="1" s="1"/>
  <c r="AJ82" i="1"/>
  <c r="AL82" i="1" s="1"/>
  <c r="AJ26" i="1"/>
  <c r="AL26" i="1" s="1"/>
  <c r="AJ88" i="1"/>
  <c r="AL88" i="1" s="1"/>
  <c r="AJ16" i="1"/>
  <c r="AL16" i="1" s="1"/>
  <c r="AJ86" i="1"/>
  <c r="AL86" i="1" s="1"/>
  <c r="AJ110" i="1"/>
  <c r="AL110" i="1" s="1"/>
  <c r="AJ17" i="1"/>
  <c r="AL17" i="1" s="1"/>
  <c r="AJ27" i="1"/>
  <c r="AL27" i="1" s="1"/>
  <c r="AJ48" i="1"/>
  <c r="AL48" i="1" s="1"/>
  <c r="AJ124" i="1"/>
  <c r="AJ108" i="1"/>
  <c r="AL108" i="1" s="1"/>
  <c r="AJ19" i="1"/>
  <c r="AL19" i="1" s="1"/>
  <c r="AJ64" i="1"/>
  <c r="AL64" i="1" s="1"/>
  <c r="AJ73" i="1"/>
  <c r="AL73" i="1" s="1"/>
  <c r="AJ94" i="1"/>
  <c r="AL94" i="1" s="1"/>
  <c r="AJ65" i="1"/>
  <c r="AL65" i="1" s="1"/>
  <c r="AJ116" i="1"/>
  <c r="AL116" i="1" s="1"/>
  <c r="AJ58" i="1"/>
  <c r="AL58" i="1" s="1"/>
  <c r="AL124" i="1"/>
  <c r="AJ22" i="1"/>
  <c r="AL22" i="1" s="1"/>
  <c r="AJ40" i="1"/>
  <c r="AL40" i="1" s="1"/>
  <c r="AJ38" i="1"/>
  <c r="AL38" i="1" s="1"/>
  <c r="AL107" i="1"/>
  <c r="AJ109" i="1"/>
  <c r="AL109" i="1" s="1"/>
  <c r="AJ102" i="1"/>
  <c r="AL102" i="1" s="1"/>
  <c r="AL57" i="1"/>
  <c r="AL44" i="1"/>
  <c r="AJ123" i="1"/>
  <c r="AL123" i="1" s="1"/>
  <c r="AJ68" i="1"/>
  <c r="AL68" i="1" s="1"/>
  <c r="AL23" i="1"/>
  <c r="AL55" i="1"/>
  <c r="AJ72" i="1"/>
  <c r="AL72" i="1" s="1"/>
  <c r="AJ93" i="1"/>
  <c r="AL93" i="1" s="1"/>
  <c r="AJ60" i="1"/>
  <c r="AL60" i="1" s="1"/>
  <c r="AJ25" i="1"/>
  <c r="AL25" i="1" s="1"/>
  <c r="AJ35" i="1"/>
  <c r="AL35" i="1" s="1"/>
  <c r="BM132" i="1"/>
  <c r="AJ122" i="1"/>
  <c r="AL122" i="1" s="1"/>
  <c r="AL50" i="1"/>
  <c r="AY132" i="1"/>
  <c r="AJ12" i="1"/>
  <c r="AL12" i="1" s="1"/>
  <c r="AJ28" i="1"/>
  <c r="AL28" i="1" s="1"/>
  <c r="AJ103" i="1"/>
  <c r="AL103" i="1" s="1"/>
  <c r="AJ101" i="1"/>
  <c r="AL101" i="1" s="1"/>
  <c r="AJ49" i="1"/>
  <c r="AL49" i="1" s="1"/>
  <c r="AJ127" i="1"/>
  <c r="AL127" i="1" s="1"/>
  <c r="AJ120" i="1"/>
  <c r="AL120" i="1" s="1"/>
  <c r="AJ46" i="1"/>
  <c r="AL46" i="1" s="1"/>
  <c r="AJ92" i="1"/>
  <c r="AL92" i="1" s="1"/>
  <c r="AJ18" i="1"/>
  <c r="AL18" i="1" s="1"/>
  <c r="AJ53" i="1"/>
  <c r="AL53" i="1" s="1"/>
  <c r="AJ99" i="1"/>
  <c r="AL99" i="1" s="1"/>
  <c r="AJ87" i="1"/>
  <c r="AL87" i="1" s="1"/>
  <c r="AJ89" i="1"/>
  <c r="AL89" i="1" s="1"/>
  <c r="AJ114" i="1"/>
  <c r="AL114" i="1" s="1"/>
  <c r="BD132" i="1"/>
  <c r="AJ121" i="1"/>
  <c r="AL121" i="1" s="1"/>
  <c r="AJ11" i="1"/>
  <c r="AL11" i="1" s="1"/>
  <c r="AJ20" i="1"/>
  <c r="AL20" i="1" s="1"/>
  <c r="AJ59" i="1"/>
  <c r="AL59" i="1" s="1"/>
  <c r="AJ81" i="1"/>
  <c r="AL81" i="1" s="1"/>
  <c r="AJ115" i="1"/>
  <c r="AL115" i="1" s="1"/>
  <c r="AJ128" i="1"/>
  <c r="AL128" i="1" s="1"/>
  <c r="AJ74" i="1"/>
  <c r="AL74" i="1" s="1"/>
  <c r="AJ43" i="1"/>
  <c r="AL43" i="1" s="1"/>
  <c r="AJ80" i="1"/>
  <c r="AL80" i="1" s="1"/>
  <c r="AJ106" i="1"/>
  <c r="AL106" i="1" s="1"/>
  <c r="AJ100" i="1"/>
  <c r="AL100" i="1" s="1"/>
  <c r="AJ111" i="1"/>
  <c r="AL111" i="1" s="1"/>
  <c r="AJ24" i="1"/>
  <c r="AL24" i="1" s="1"/>
  <c r="AJ130" i="1"/>
  <c r="AL130" i="1" s="1"/>
  <c r="BE132" i="1"/>
  <c r="AJ31" i="1"/>
  <c r="AL31" i="1" s="1"/>
  <c r="AJ76" i="1"/>
  <c r="AL76" i="1" s="1"/>
  <c r="AJ117" i="1"/>
  <c r="AL117" i="1" s="1"/>
  <c r="AJ45" i="1"/>
  <c r="AL45" i="1" s="1"/>
  <c r="AJ54" i="1"/>
  <c r="AL54" i="1" s="1"/>
  <c r="AJ129" i="1"/>
  <c r="AL129" i="1" s="1"/>
  <c r="AJ47" i="1"/>
  <c r="AL47" i="1" s="1"/>
  <c r="AJ39" i="1"/>
  <c r="AL39" i="1" s="1"/>
  <c r="AJ83" i="1"/>
  <c r="AL83" i="1" s="1"/>
  <c r="AJ95" i="1"/>
  <c r="AL95" i="1" s="1"/>
  <c r="AJ36" i="1"/>
  <c r="AL36" i="1" s="1"/>
  <c r="AJ34" i="1"/>
  <c r="AL34" i="1" s="1"/>
  <c r="AJ61" i="1"/>
  <c r="AL61" i="1" s="1"/>
  <c r="AJ69" i="1"/>
  <c r="AL69" i="1" s="1"/>
  <c r="AJ21" i="1"/>
  <c r="AL21" i="1" s="1"/>
  <c r="AJ66" i="1"/>
  <c r="AL66" i="1" s="1"/>
  <c r="AJ67" i="1"/>
  <c r="AL67" i="1" s="1"/>
  <c r="AJ37" i="1"/>
  <c r="AL37" i="1" s="1"/>
  <c r="AJ77" i="1"/>
  <c r="AL77" i="1" s="1"/>
  <c r="AJ13" i="1"/>
  <c r="AL13" i="1" s="1"/>
  <c r="AJ56" i="1"/>
  <c r="AL56" i="1" s="1"/>
  <c r="AJ75" i="1"/>
  <c r="AL75" i="1" s="1"/>
  <c r="AL132" i="1" l="1"/>
</calcChain>
</file>

<file path=xl/comments1.xml><?xml version="1.0" encoding="utf-8"?>
<comments xmlns="http://schemas.openxmlformats.org/spreadsheetml/2006/main">
  <authors>
    <author>Hugo Pulido Maciel</author>
  </authors>
  <commentList>
    <comment ref="AL2" authorId="0">
      <text>
        <r>
          <rPr>
            <b/>
            <sz val="9"/>
            <color indexed="81"/>
            <rFont val="Tahoma"/>
            <family val="2"/>
          </rPr>
          <t>Hugo Pulido Maciel:</t>
        </r>
        <r>
          <rPr>
            <sz val="9"/>
            <color indexed="81"/>
            <rFont val="Tahoma"/>
            <family val="2"/>
          </rPr>
          <t xml:space="preserve">
DOF 10ENE17</t>
        </r>
      </text>
    </comment>
    <comment ref="S7" authorId="0">
      <text>
        <r>
          <rPr>
            <b/>
            <sz val="9"/>
            <color indexed="81"/>
            <rFont val="Tahoma"/>
            <family val="2"/>
          </rPr>
          <t>Hugo Pulido Maciel:</t>
        </r>
        <r>
          <rPr>
            <sz val="9"/>
            <color indexed="81"/>
            <rFont val="Tahoma"/>
            <family val="2"/>
          </rPr>
          <t xml:space="preserve">
Aumenta de 13.5% a 15% para 2016
</t>
        </r>
      </text>
    </comment>
    <comment ref="T7" authorId="0">
      <text>
        <r>
          <rPr>
            <b/>
            <sz val="9"/>
            <color indexed="81"/>
            <rFont val="Tahoma"/>
            <family val="2"/>
          </rPr>
          <t>Hugo Pulido Maciel:</t>
        </r>
        <r>
          <rPr>
            <sz val="9"/>
            <color indexed="81"/>
            <rFont val="Tahoma"/>
            <family val="2"/>
          </rPr>
          <t xml:space="preserve">
Tope de 7.5 vsm (73.04) por quincena
</t>
        </r>
      </text>
    </comment>
    <comment ref="Z7" authorId="0">
      <text>
        <r>
          <rPr>
            <b/>
            <sz val="9"/>
            <color indexed="81"/>
            <rFont val="Tahoma"/>
            <family val="2"/>
          </rPr>
          <t>Hugo Pulido Maciel:</t>
        </r>
        <r>
          <rPr>
            <sz val="9"/>
            <color indexed="81"/>
            <rFont val="Tahoma"/>
            <family val="2"/>
          </rPr>
          <t xml:space="preserve">
s/ art 11 del pspto egre p/2016 no se pagara estimulo de los niveles 23 al 34 ($50,402 a 166,195 de percepcion bruta)</t>
        </r>
      </text>
    </comment>
    <comment ref="AC7" authorId="0">
      <text>
        <r>
          <rPr>
            <b/>
            <sz val="9"/>
            <color indexed="81"/>
            <rFont val="Tahoma"/>
            <family val="2"/>
          </rPr>
          <t>Hugo Pulido Maciel:</t>
        </r>
        <r>
          <rPr>
            <sz val="9"/>
            <color indexed="81"/>
            <rFont val="Tahoma"/>
            <family val="2"/>
          </rPr>
          <t xml:space="preserve">
LSS Artículo 28. Los asegurados se inscribirán con el salario base de cotización que perciban en el
momento de su afiliación, estableciéndose como límite superior el equivalente a veinticinco veces el
salario mínimo general que rija en el Distrito Federal y como límite inferior el salario mínimo general del
área geográfica respectiva.</t>
        </r>
      </text>
    </comment>
    <comment ref="AD7" authorId="0">
      <text>
        <r>
          <rPr>
            <b/>
            <sz val="9"/>
            <color indexed="81"/>
            <rFont val="Tahoma"/>
            <family val="2"/>
          </rPr>
          <t>Hugo Pulido Maciel:</t>
        </r>
        <r>
          <rPr>
            <sz val="9"/>
            <color indexed="81"/>
            <rFont val="Tahoma"/>
            <family val="2"/>
          </rPr>
          <t xml:space="preserve">
LSS Artículo 28. Los asegurados se inscribirán con el salario base de cotización que perciban en el
momento de su afiliación, estableciéndose como límite superior el equivalente a veinticinco veces el
salario mínimo general que rija en el Distrito Federal y como límite inferior el salario mínimo general del
área geográfica respectiva.</t>
        </r>
      </text>
    </comment>
    <comment ref="AE8" authorId="0">
      <text>
        <r>
          <rPr>
            <b/>
            <sz val="9"/>
            <color indexed="81"/>
            <rFont val="Tahoma"/>
            <family val="2"/>
          </rPr>
          <t>Hugo Pulido Maciel:</t>
        </r>
        <r>
          <rPr>
            <sz val="9"/>
            <color indexed="81"/>
            <rFont val="Tahoma"/>
            <family val="2"/>
          </rPr>
          <t xml:space="preserve">
articulo 11 presupeusto de egresos p/2015
</t>
        </r>
      </text>
    </comment>
  </commentList>
</comments>
</file>

<file path=xl/sharedStrings.xml><?xml version="1.0" encoding="utf-8"?>
<sst xmlns="http://schemas.openxmlformats.org/spreadsheetml/2006/main" count="257" uniqueCount="193">
  <si>
    <t>AGUIN</t>
  </si>
  <si>
    <t>Cuota Fija</t>
  </si>
  <si>
    <t>INSTITUTO ELECTORAL Y DE PARTICIPACIÓN CIUDADANA  DEL ESTADO DE JALISCO</t>
  </si>
  <si>
    <t>PRIMA</t>
  </si>
  <si>
    <t>UMA</t>
  </si>
  <si>
    <t>PRESUPUESTO 2017</t>
  </si>
  <si>
    <t>SUMA</t>
  </si>
  <si>
    <t>Factor Int. Salarial</t>
  </si>
  <si>
    <t>Dias Quincena</t>
  </si>
  <si>
    <t>EDIFICIO PERSONAL BASE</t>
  </si>
  <si>
    <t>ENTRE 365</t>
  </si>
  <si>
    <t>Despensa exenta</t>
  </si>
  <si>
    <t>Excedente Pat</t>
  </si>
  <si>
    <t>RESUMEN CAPÍTULO 1000 SERVICIOS PERSONALES</t>
  </si>
  <si>
    <t>2017 estimado</t>
  </si>
  <si>
    <t>VSMDF</t>
  </si>
  <si>
    <t>Exced. Obr</t>
  </si>
  <si>
    <t>ART 174 REGLAMENTO</t>
  </si>
  <si>
    <t>ART 96 LEY ISR</t>
  </si>
  <si>
    <t>CALCULO ANUAL</t>
  </si>
  <si>
    <t>meses</t>
  </si>
  <si>
    <t>ZONA</t>
  </si>
  <si>
    <t>A</t>
  </si>
  <si>
    <t>TOPE ART 28 LSS</t>
  </si>
  <si>
    <t>Riesgo Trabajo</t>
  </si>
  <si>
    <t>F-I</t>
  </si>
  <si>
    <t>F-II</t>
  </si>
  <si>
    <t>F-III</t>
  </si>
  <si>
    <t>F-V</t>
  </si>
  <si>
    <t xml:space="preserve"> F-IV</t>
  </si>
  <si>
    <t>PUESTO</t>
  </si>
  <si>
    <t>CANTIDAD DE PERSONAL</t>
  </si>
  <si>
    <t>SUELDO ANTES DE AUMENTOS</t>
  </si>
  <si>
    <t>SALARIO MENSUAL PARA 2017</t>
  </si>
  <si>
    <t>MENSUAL</t>
  </si>
  <si>
    <t xml:space="preserve">1131         SUELDO ANUAL   </t>
  </si>
  <si>
    <t>1321          PRIMA VACACIONAL NORMAL</t>
  </si>
  <si>
    <t xml:space="preserve">1321          PRIMA VACACIONAL </t>
  </si>
  <si>
    <t>1321                    PRIMA    VACACIONAL    TOTAL</t>
  </si>
  <si>
    <t>1322         AGUINALDO</t>
  </si>
  <si>
    <t>COMPENSACION ADICIONAL</t>
  </si>
  <si>
    <t xml:space="preserve"> 1345 COMPENSACIÓN ADICIONAL</t>
  </si>
  <si>
    <t>ISR AGUINALDO</t>
  </si>
  <si>
    <t>1411         CUOTAS        AL IMSS</t>
  </si>
  <si>
    <t>1421           CUOTAS PARA LA VIVIENDA</t>
  </si>
  <si>
    <t>1431             CUOTAS A PENSIONES</t>
  </si>
  <si>
    <t>1432     CUOTAS AL SEDAR</t>
  </si>
  <si>
    <t>DESPENSA MENSUAL</t>
  </si>
  <si>
    <t>1712         AYUDA DE DESPENSA</t>
  </si>
  <si>
    <t>TRANSPORTE MENSUAL</t>
  </si>
  <si>
    <t>1713          AYUDA DE TRANSPORTE</t>
  </si>
  <si>
    <t>DESPENSA ANUAL</t>
  </si>
  <si>
    <t>1715                         ESTÍMULO DEL DÍA DEL SERVIDOR  PÚBLICO</t>
  </si>
  <si>
    <t>SUELDO Y TRANSPORTE</t>
  </si>
  <si>
    <t>Despensa gravada</t>
  </si>
  <si>
    <t>S.B.C.</t>
  </si>
  <si>
    <t>S.D.I.</t>
  </si>
  <si>
    <t>CUOTA FIJA</t>
  </si>
  <si>
    <t>EXCEDENTE PATRONAL</t>
  </si>
  <si>
    <t>EXCEDENTE OBRERA</t>
  </si>
  <si>
    <t>RIESGO DE TRABAJO</t>
  </si>
  <si>
    <t>CUOTA PATRONAL</t>
  </si>
  <si>
    <t>CUOTA OBRERA</t>
  </si>
  <si>
    <t>CUOTA OBRERO - PATRONAL</t>
  </si>
  <si>
    <t>ISR DE LOS TRABAJADORES</t>
  </si>
  <si>
    <t>AGUINALDO</t>
  </si>
  <si>
    <t>ENTRE 365 * 30.4</t>
  </si>
  <si>
    <t>INGRESO ORDINARIO</t>
  </si>
  <si>
    <t xml:space="preserve">ISR PROCED ART96 </t>
  </si>
  <si>
    <t>ISR INGRESO ORDINARIO</t>
  </si>
  <si>
    <t>ISR FRACCION III</t>
  </si>
  <si>
    <t>MAS INGRESO ORDINARIO</t>
  </si>
  <si>
    <t>TASA</t>
  </si>
  <si>
    <t>IMPUESTO (SIN DEDUCCION ALGUNA)</t>
  </si>
  <si>
    <t>IMPUESTO (SIN DEDUCCION ALGUNA) * PERSONAS</t>
  </si>
  <si>
    <t>INGRESOS TOTALES</t>
  </si>
  <si>
    <t>ISR S/ TOTAL</t>
  </si>
  <si>
    <t>MENOS EL ISR ORDINARIO</t>
  </si>
  <si>
    <t>ISR DEL AGUINALDO</t>
  </si>
  <si>
    <t>POR TRABAJADORES</t>
  </si>
  <si>
    <t>INGRESO ORDINARIO ANUAL</t>
  </si>
  <si>
    <t>BASE</t>
  </si>
  <si>
    <t>ISR GLOBAL</t>
  </si>
  <si>
    <t>ISR ORDINARIO</t>
  </si>
  <si>
    <t>Consejeros</t>
  </si>
  <si>
    <t>Consejera o Consejero Electoral</t>
  </si>
  <si>
    <t>Asesora o Asesor de Consejero</t>
  </si>
  <si>
    <t>TABLA PARA 2016</t>
  </si>
  <si>
    <t>DOF 05 ENE 2015</t>
  </si>
  <si>
    <t>Tabla del subsidio para el empleo aplicable a la tarifa del numeral 5 del rubro B.</t>
  </si>
  <si>
    <t xml:space="preserve">Asistente de Consejero </t>
  </si>
  <si>
    <t>Total</t>
  </si>
  <si>
    <t>Límite inferior</t>
  </si>
  <si>
    <t>Límite superior</t>
  </si>
  <si>
    <t>Cuota fija</t>
  </si>
  <si>
    <t>Por ciento para aplicarse sobre</t>
  </si>
  <si>
    <t>Monto de ingresos que sirven de base para calcular el impuesto</t>
  </si>
  <si>
    <t>Presidencia</t>
  </si>
  <si>
    <t>el excedente del límite inferior</t>
  </si>
  <si>
    <t>Para Ingresos de</t>
  </si>
  <si>
    <t>Hasta Ingresos de</t>
  </si>
  <si>
    <t>Cantidad de subsidio para el empleo mensual</t>
  </si>
  <si>
    <t>Consejero Presidente</t>
  </si>
  <si>
    <t>$</t>
  </si>
  <si>
    <t>%</t>
  </si>
  <si>
    <t>Coordinadora o Cordinador General de Planeación, Seguimiento y Evaluación</t>
  </si>
  <si>
    <t>Coordinadora o Coordinador General de EnlaceInterinstitucional y Protocolo</t>
  </si>
  <si>
    <t>Asesora o Asesor de Presidencia</t>
  </si>
  <si>
    <t>Jefa o Jefe Auxiliar en Comunicación Social</t>
  </si>
  <si>
    <t>Jefa o Jefe Auxiliar Edición</t>
  </si>
  <si>
    <t>Coordinadora o Coordinador en Medios</t>
  </si>
  <si>
    <t>Coordinadora o Coordinador en Contenidos Multimedia</t>
  </si>
  <si>
    <t>Coordinadora o Coordinador en Edición</t>
  </si>
  <si>
    <t>Técnica o Técnico en Medios</t>
  </si>
  <si>
    <t>Técnica o Técnico en Edición</t>
  </si>
  <si>
    <t>Asistente de Presidencia</t>
  </si>
  <si>
    <t>Asistente Privado</t>
  </si>
  <si>
    <t>Partidos Políticos</t>
  </si>
  <si>
    <t>Asistente de Partidos Políticos</t>
  </si>
  <si>
    <t>Secretaría Ejecutiva</t>
  </si>
  <si>
    <t>Secretario o Secretria Ejecutivo</t>
  </si>
  <si>
    <t>Coordinadora o Coordinador de Proyectos</t>
  </si>
  <si>
    <t>Coordinadora o Coordinador de Archivo y Oficialia de Partes</t>
  </si>
  <si>
    <t>Técnica o Técnico Jurídico</t>
  </si>
  <si>
    <t>Técnica o Técnico Auxiliar Jurídico</t>
  </si>
  <si>
    <t>Asistente de la Secretaría</t>
  </si>
  <si>
    <t>En adelante</t>
  </si>
  <si>
    <t>Asistente del Archivo</t>
  </si>
  <si>
    <t>Contraloría General</t>
  </si>
  <si>
    <t>Contralor</t>
  </si>
  <si>
    <t>Subcontralor</t>
  </si>
  <si>
    <t>Coordinadora o Coordinador de Asuntos Jurídicos</t>
  </si>
  <si>
    <t>Coordinadora o Coordinador de Fiscalización</t>
  </si>
  <si>
    <t>Coordinadora o Coordinador de Gestión y Control</t>
  </si>
  <si>
    <t>Técnica o Técnico Contable</t>
  </si>
  <si>
    <t>Asistente</t>
  </si>
  <si>
    <t>Dirección de Administración y Finanzas</t>
  </si>
  <si>
    <t>Directora o Director</t>
  </si>
  <si>
    <t>Coordinadora o Coordinador de Finanzas</t>
  </si>
  <si>
    <t>Coordinadora o Coordinador de Recursos Humanos y Servicio Profesional</t>
  </si>
  <si>
    <t>Coordinadora o Coordinador de Recursos Materiales</t>
  </si>
  <si>
    <t>Asistente de Recepción</t>
  </si>
  <si>
    <t>Auxiliar de Mantenimiento y Almacén</t>
  </si>
  <si>
    <t>Intendente</t>
  </si>
  <si>
    <t>Unidad de Informática</t>
  </si>
  <si>
    <t>Jefa o Jefe en Informática</t>
  </si>
  <si>
    <t>Coordinadora o Coordinador en Softwere</t>
  </si>
  <si>
    <t>Coordinadora o Coordinador en Hardwere</t>
  </si>
  <si>
    <t>Coordinadora o Coordinador  en Redes y Comunicaciones</t>
  </si>
  <si>
    <t>Coordinadora o Coordinador en Multimedia</t>
  </si>
  <si>
    <t>Técnica o Técnico en Informática</t>
  </si>
  <si>
    <t>Dirección Jurídica</t>
  </si>
  <si>
    <t>Coordinadora o Coordinador de Procedimientos</t>
  </si>
  <si>
    <t>Coordinadora o Coordinador de lo Contencioso</t>
  </si>
  <si>
    <t>Coordinadora o Coordinador de Consulta y Vinculación Jurídica</t>
  </si>
  <si>
    <t>Unidad Técnica de Fiscalización</t>
  </si>
  <si>
    <t>Jefa o Jefe</t>
  </si>
  <si>
    <t>Coordinadora o Coordinador de Dictamenes</t>
  </si>
  <si>
    <t>Secretaría de Comisiones</t>
  </si>
  <si>
    <t>Secretario o Secretaria</t>
  </si>
  <si>
    <t>Dirección de Educación Cívica</t>
  </si>
  <si>
    <t>Coordinadora o Coodinador de Educación Cívica</t>
  </si>
  <si>
    <t>Coordinadora o Coordinador de Capacitación</t>
  </si>
  <si>
    <t>Técnica o Técnico de Educación Cívica</t>
  </si>
  <si>
    <t>Dirección de Paticipación Cudadana</t>
  </si>
  <si>
    <t>Coordinadora o Coordinador de Proyectos y Participación Ciudadana</t>
  </si>
  <si>
    <t>Coordinadora o Coordinador de Organizaciones de la Sociedad Civil</t>
  </si>
  <si>
    <t>Técnica o Técnico de Participación Ciudadana</t>
  </si>
  <si>
    <t>Dirección de Organización Electoral</t>
  </si>
  <si>
    <t>Coordinadora o Coordinador de Logística</t>
  </si>
  <si>
    <t>Coordinadora o Coordinador de Estadistica</t>
  </si>
  <si>
    <t>Coordinadora o Coordinador de Información Territorial y Diseño Electoral</t>
  </si>
  <si>
    <t>Técnica o Técnico de Organización</t>
  </si>
  <si>
    <t>Unidad Técnica de Prerrogativas</t>
  </si>
  <si>
    <t>Coordinadora o Coordinador</t>
  </si>
  <si>
    <t>Técnica o Técnico</t>
  </si>
  <si>
    <t>Unidad de Transparencia</t>
  </si>
  <si>
    <t>Coordinadora o Coordinador en Información Pública</t>
  </si>
  <si>
    <t>Coordinadora o Coordinador en Protección de Datos</t>
  </si>
  <si>
    <t>Técnica o Técnico en Transparencia</t>
  </si>
  <si>
    <t>Unidad de Género y No Discriminación</t>
  </si>
  <si>
    <t>Coordinadora o Coordinador de Género</t>
  </si>
  <si>
    <t>Coordinadora o Coordinador de No Discriminación</t>
  </si>
  <si>
    <t>Total Anual</t>
  </si>
  <si>
    <t>hoy</t>
  </si>
  <si>
    <t>propuesta</t>
  </si>
  <si>
    <t>veces el salario m</t>
  </si>
  <si>
    <t xml:space="preserve">salario min </t>
  </si>
  <si>
    <t>salario min 2017</t>
  </si>
  <si>
    <t>ayuda mensual</t>
  </si>
  <si>
    <t>personas con ayuda ago 2016</t>
  </si>
  <si>
    <t>al mes</t>
  </si>
  <si>
    <t>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</si>
</sst>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_-* #,##0.0000_-;\-* #,##0.0000_-;_-* &quot;-&quot;??_-;_-@_-"/>
    <numFmt numFmtId="167" formatCode="_-* #,##0.000_-;\-* #,##0.000_-;_-* &quot;-&quot;??_-;_-@_-"/>
    <numFmt numFmtId="168" formatCode="_-* #,##0.0_-;\-* #,##0.0_-;_-* &quot;-&quot;??_-;_-@_-"/>
    <numFmt numFmtId="169" formatCode="0.0%"/>
    <numFmt numFmtId="170" formatCode="0.0000%"/>
    <numFmt numFmtId="171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  <border>
      <left/>
      <right/>
      <top style="thin">
        <color rgb="FF0000FD"/>
      </top>
      <bottom style="double">
        <color rgb="FF0000FD"/>
      </bottom>
      <diagonal/>
    </border>
    <border>
      <left/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3" applyFont="1"/>
    <xf numFmtId="0" fontId="3" fillId="0" borderId="0" xfId="3" applyFont="1" applyAlignment="1">
      <alignment horizontal="center"/>
    </xf>
    <xf numFmtId="164" fontId="2" fillId="0" borderId="0" xfId="1" applyNumberFormat="1" applyFont="1"/>
    <xf numFmtId="165" fontId="2" fillId="0" borderId="0" xfId="4" applyNumberFormat="1" applyFont="1" applyFill="1"/>
    <xf numFmtId="165" fontId="2" fillId="0" borderId="0" xfId="4" applyNumberFormat="1" applyFont="1"/>
    <xf numFmtId="164" fontId="2" fillId="0" borderId="1" xfId="1" applyNumberFormat="1" applyFont="1" applyBorder="1"/>
    <xf numFmtId="0" fontId="2" fillId="0" borderId="0" xfId="3" applyFont="1"/>
    <xf numFmtId="0" fontId="4" fillId="0" borderId="0" xfId="0" applyFont="1"/>
    <xf numFmtId="2" fontId="2" fillId="0" borderId="0" xfId="3" applyNumberFormat="1" applyFont="1"/>
    <xf numFmtId="43" fontId="2" fillId="0" borderId="0" xfId="5" applyFont="1" applyAlignment="1">
      <alignment horizontal="left"/>
    </xf>
    <xf numFmtId="10" fontId="2" fillId="0" borderId="0" xfId="2" applyNumberFormat="1" applyFont="1"/>
    <xf numFmtId="164" fontId="2" fillId="0" borderId="0" xfId="3" applyNumberFormat="1" applyFont="1" applyAlignment="1">
      <alignment vertical="center"/>
    </xf>
    <xf numFmtId="0" fontId="2" fillId="0" borderId="0" xfId="3" applyFont="1" applyAlignment="1">
      <alignment vertical="center"/>
    </xf>
    <xf numFmtId="166" fontId="2" fillId="0" borderId="1" xfId="1" applyNumberFormat="1" applyFont="1" applyBorder="1"/>
    <xf numFmtId="43" fontId="2" fillId="0" borderId="0" xfId="5" applyFont="1"/>
    <xf numFmtId="43" fontId="4" fillId="0" borderId="0" xfId="0" applyNumberFormat="1" applyFont="1"/>
    <xf numFmtId="43" fontId="2" fillId="0" borderId="0" xfId="1" applyFont="1" applyAlignment="1">
      <alignment vertical="center"/>
    </xf>
    <xf numFmtId="167" fontId="2" fillId="0" borderId="1" xfId="1" applyNumberFormat="1" applyFont="1" applyBorder="1"/>
    <xf numFmtId="43" fontId="2" fillId="0" borderId="0" xfId="5" applyFont="1" applyAlignment="1">
      <alignment horizontal="right"/>
    </xf>
    <xf numFmtId="166" fontId="2" fillId="0" borderId="0" xfId="5" applyNumberFormat="1" applyFont="1"/>
    <xf numFmtId="164" fontId="2" fillId="0" borderId="0" xfId="1" applyNumberFormat="1" applyFont="1" applyAlignment="1">
      <alignment vertical="center"/>
    </xf>
    <xf numFmtId="168" fontId="2" fillId="0" borderId="1" xfId="1" applyNumberFormat="1" applyFont="1" applyBorder="1"/>
    <xf numFmtId="2" fontId="2" fillId="0" borderId="0" xfId="3" applyNumberFormat="1" applyFont="1" applyBorder="1" applyAlignment="1">
      <alignment vertical="center"/>
    </xf>
    <xf numFmtId="43" fontId="2" fillId="0" borderId="1" xfId="1" applyNumberFormat="1" applyFont="1" applyBorder="1"/>
    <xf numFmtId="0" fontId="3" fillId="0" borderId="0" xfId="0" applyFont="1" applyAlignment="1">
      <alignment horizontal="right"/>
    </xf>
    <xf numFmtId="0" fontId="5" fillId="2" borderId="0" xfId="0" applyFont="1" applyFill="1" applyBorder="1" applyAlignment="1">
      <alignment horizontal="center" vertical="center" wrapText="1"/>
    </xf>
    <xf numFmtId="164" fontId="4" fillId="0" borderId="0" xfId="1" applyNumberFormat="1" applyFont="1"/>
    <xf numFmtId="16" fontId="2" fillId="0" borderId="0" xfId="3" applyNumberFormat="1" applyFont="1"/>
    <xf numFmtId="168" fontId="2" fillId="0" borderId="0" xfId="1" applyNumberFormat="1" applyFont="1"/>
    <xf numFmtId="0" fontId="4" fillId="0" borderId="0" xfId="0" applyFont="1" applyAlignment="1">
      <alignment horizontal="center"/>
    </xf>
    <xf numFmtId="2" fontId="3" fillId="0" borderId="0" xfId="0" applyNumberFormat="1" applyFont="1"/>
    <xf numFmtId="0" fontId="3" fillId="2" borderId="13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10" fontId="3" fillId="2" borderId="14" xfId="2" applyNumberFormat="1" applyFont="1" applyFill="1" applyBorder="1" applyAlignment="1">
      <alignment horizontal="center" vertical="center" wrapText="1"/>
    </xf>
    <xf numFmtId="9" fontId="3" fillId="2" borderId="14" xfId="2" applyFont="1" applyFill="1" applyBorder="1" applyAlignment="1">
      <alignment horizontal="center" vertical="center" wrapText="1"/>
    </xf>
    <xf numFmtId="164" fontId="3" fillId="2" borderId="14" xfId="1" applyNumberFormat="1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0" borderId="0" xfId="3" applyFont="1" applyBorder="1"/>
    <xf numFmtId="0" fontId="3" fillId="0" borderId="0" xfId="5" applyNumberFormat="1" applyFont="1" applyBorder="1" applyAlignment="1">
      <alignment horizontal="center"/>
    </xf>
    <xf numFmtId="164" fontId="2" fillId="0" borderId="0" xfId="1" applyNumberFormat="1" applyFont="1" applyBorder="1"/>
    <xf numFmtId="164" fontId="2" fillId="0" borderId="0" xfId="4" applyNumberFormat="1" applyFont="1" applyFill="1" applyBorder="1"/>
    <xf numFmtId="164" fontId="2" fillId="0" borderId="0" xfId="4" applyNumberFormat="1" applyFont="1" applyBorder="1"/>
    <xf numFmtId="164" fontId="2" fillId="0" borderId="0" xfId="3" applyNumberFormat="1" applyFont="1"/>
    <xf numFmtId="9" fontId="3" fillId="0" borderId="0" xfId="3" applyNumberFormat="1" applyFont="1" applyFill="1" applyAlignment="1">
      <alignment horizontal="center"/>
    </xf>
    <xf numFmtId="164" fontId="3" fillId="0" borderId="0" xfId="5" applyNumberFormat="1" applyFont="1" applyFill="1" applyAlignment="1">
      <alignment horizontal="center"/>
    </xf>
    <xf numFmtId="9" fontId="3" fillId="4" borderId="0" xfId="3" applyNumberFormat="1" applyFont="1" applyFill="1" applyAlignment="1">
      <alignment horizontal="center"/>
    </xf>
    <xf numFmtId="169" fontId="3" fillId="4" borderId="0" xfId="3" applyNumberFormat="1" applyFont="1" applyFill="1" applyAlignment="1">
      <alignment horizontal="center"/>
    </xf>
    <xf numFmtId="43" fontId="2" fillId="4" borderId="0" xfId="1" applyFont="1" applyFill="1"/>
    <xf numFmtId="10" fontId="2" fillId="0" borderId="0" xfId="3" applyNumberFormat="1" applyFont="1"/>
    <xf numFmtId="170" fontId="4" fillId="0" borderId="0" xfId="0" applyNumberFormat="1" applyFont="1"/>
    <xf numFmtId="169" fontId="3" fillId="0" borderId="0" xfId="3" applyNumberFormat="1" applyFont="1" applyFill="1" applyAlignment="1">
      <alignment horizontal="center"/>
    </xf>
    <xf numFmtId="43" fontId="3" fillId="4" borderId="0" xfId="1" applyFont="1" applyFill="1" applyAlignment="1">
      <alignment horizontal="center"/>
    </xf>
    <xf numFmtId="164" fontId="4" fillId="0" borderId="0" xfId="0" applyNumberFormat="1" applyFont="1"/>
    <xf numFmtId="9" fontId="4" fillId="0" borderId="0" xfId="2" applyFont="1"/>
    <xf numFmtId="43" fontId="5" fillId="0" borderId="17" xfId="1" applyFont="1" applyBorder="1" applyAlignment="1">
      <alignment horizontal="left"/>
    </xf>
    <xf numFmtId="0" fontId="3" fillId="0" borderId="18" xfId="5" applyNumberFormat="1" applyFont="1" applyBorder="1" applyAlignment="1">
      <alignment horizontal="center"/>
    </xf>
    <xf numFmtId="164" fontId="3" fillId="0" borderId="18" xfId="5" applyNumberFormat="1" applyFont="1" applyBorder="1" applyAlignment="1">
      <alignment horizontal="center"/>
    </xf>
    <xf numFmtId="43" fontId="2" fillId="0" borderId="0" xfId="1" applyFont="1" applyBorder="1"/>
    <xf numFmtId="43" fontId="2" fillId="0" borderId="0" xfId="1" applyFont="1"/>
    <xf numFmtId="43" fontId="4" fillId="0" borderId="0" xfId="1" applyFont="1"/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center"/>
    </xf>
    <xf numFmtId="164" fontId="4" fillId="0" borderId="20" xfId="0" applyNumberFormat="1" applyFont="1" applyBorder="1"/>
    <xf numFmtId="164" fontId="4" fillId="0" borderId="0" xfId="0" applyNumberFormat="1" applyFont="1" applyFill="1"/>
    <xf numFmtId="0" fontId="4" fillId="0" borderId="0" xfId="2" applyNumberFormat="1" applyFont="1"/>
    <xf numFmtId="43" fontId="4" fillId="0" borderId="20" xfId="0" applyNumberFormat="1" applyFont="1" applyBorder="1"/>
    <xf numFmtId="43" fontId="4" fillId="0" borderId="0" xfId="1" applyFont="1" applyAlignment="1">
      <alignment vertical="center"/>
    </xf>
    <xf numFmtId="43" fontId="4" fillId="0" borderId="0" xfId="1" applyFont="1" applyAlignment="1">
      <alignment horizontal="left" vertical="center"/>
    </xf>
    <xf numFmtId="43" fontId="4" fillId="0" borderId="0" xfId="1" applyFont="1" applyAlignment="1">
      <alignment horizontal="center" vertical="center"/>
    </xf>
    <xf numFmtId="43" fontId="4" fillId="0" borderId="0" xfId="1" applyFont="1" applyAlignment="1">
      <alignment horizontal="justify" vertical="top"/>
    </xf>
    <xf numFmtId="43" fontId="6" fillId="0" borderId="21" xfId="1" applyFont="1" applyBorder="1" applyAlignment="1">
      <alignment horizontal="justify" vertical="center"/>
    </xf>
    <xf numFmtId="43" fontId="6" fillId="0" borderId="21" xfId="1" applyFont="1" applyBorder="1" applyAlignment="1">
      <alignment horizontal="justify" vertical="center" wrapText="1"/>
    </xf>
    <xf numFmtId="164" fontId="3" fillId="5" borderId="19" xfId="5" applyNumberFormat="1" applyFont="1" applyFill="1" applyBorder="1" applyAlignment="1">
      <alignment horizontal="center"/>
    </xf>
    <xf numFmtId="0" fontId="3" fillId="5" borderId="20" xfId="5" applyNumberFormat="1" applyFont="1" applyFill="1" applyBorder="1" applyAlignment="1">
      <alignment horizontal="center"/>
    </xf>
    <xf numFmtId="164" fontId="3" fillId="5" borderId="20" xfId="1" applyNumberFormat="1" applyFont="1" applyFill="1" applyBorder="1" applyAlignment="1">
      <alignment horizontal="center"/>
    </xf>
    <xf numFmtId="164" fontId="4" fillId="6" borderId="0" xfId="0" applyNumberFormat="1" applyFont="1" applyFill="1"/>
    <xf numFmtId="43" fontId="4" fillId="6" borderId="0" xfId="0" applyNumberFormat="1" applyFont="1" applyFill="1"/>
    <xf numFmtId="10" fontId="4" fillId="6" borderId="0" xfId="2" applyNumberFormat="1" applyFont="1" applyFill="1"/>
    <xf numFmtId="43" fontId="4" fillId="6" borderId="0" xfId="1" applyFont="1" applyFill="1"/>
    <xf numFmtId="43" fontId="6" fillId="0" borderId="22" xfId="1" applyFont="1" applyBorder="1" applyAlignment="1">
      <alignment horizontal="center" vertical="center" wrapText="1"/>
    </xf>
    <xf numFmtId="43" fontId="5" fillId="0" borderId="19" xfId="1" applyFont="1" applyBorder="1" applyAlignment="1">
      <alignment horizontal="left"/>
    </xf>
    <xf numFmtId="0" fontId="3" fillId="0" borderId="20" xfId="5" applyNumberFormat="1" applyFont="1" applyBorder="1" applyAlignment="1">
      <alignment horizontal="center"/>
    </xf>
    <xf numFmtId="164" fontId="2" fillId="0" borderId="20" xfId="1" applyNumberFormat="1" applyFont="1" applyBorder="1"/>
    <xf numFmtId="9" fontId="4" fillId="6" borderId="0" xfId="2" applyFont="1" applyFill="1"/>
    <xf numFmtId="43" fontId="6" fillId="0" borderId="0" xfId="1" applyFont="1" applyAlignment="1">
      <alignment horizontal="center" vertical="center" wrapText="1"/>
    </xf>
    <xf numFmtId="43" fontId="6" fillId="0" borderId="21" xfId="1" applyFont="1" applyBorder="1" applyAlignment="1">
      <alignment horizontal="center" vertical="center" wrapText="1"/>
    </xf>
    <xf numFmtId="43" fontId="6" fillId="0" borderId="0" xfId="1" applyFont="1" applyAlignment="1">
      <alignment horizontal="right" vertical="center" wrapText="1"/>
    </xf>
    <xf numFmtId="9" fontId="6" fillId="0" borderId="0" xfId="2" applyNumberFormat="1" applyFont="1" applyAlignment="1">
      <alignment horizontal="right" vertical="center" wrapText="1"/>
    </xf>
    <xf numFmtId="43" fontId="6" fillId="0" borderId="0" xfId="1" applyFont="1" applyFill="1" applyAlignment="1">
      <alignment horizontal="right" vertical="center" wrapText="1"/>
    </xf>
    <xf numFmtId="9" fontId="6" fillId="0" borderId="0" xfId="2" applyNumberFormat="1" applyFont="1" applyFill="1" applyAlignment="1">
      <alignment horizontal="right" vertical="center" wrapText="1"/>
    </xf>
    <xf numFmtId="10" fontId="4" fillId="0" borderId="0" xfId="2" applyNumberFormat="1" applyFont="1"/>
    <xf numFmtId="43" fontId="5" fillId="0" borderId="19" xfId="1" applyFont="1" applyBorder="1"/>
    <xf numFmtId="0" fontId="4" fillId="0" borderId="19" xfId="0" applyFont="1" applyBorder="1"/>
    <xf numFmtId="0" fontId="4" fillId="0" borderId="19" xfId="0" applyFont="1" applyFill="1" applyBorder="1"/>
    <xf numFmtId="43" fontId="6" fillId="0" borderId="21" xfId="1" applyFont="1" applyBorder="1" applyAlignment="1">
      <alignment horizontal="right" vertical="center" wrapText="1"/>
    </xf>
    <xf numFmtId="9" fontId="6" fillId="0" borderId="21" xfId="2" applyNumberFormat="1" applyFont="1" applyBorder="1" applyAlignment="1">
      <alignment horizontal="right" vertical="center" wrapText="1"/>
    </xf>
    <xf numFmtId="0" fontId="4" fillId="0" borderId="20" xfId="0" applyFont="1" applyFill="1" applyBorder="1" applyAlignment="1">
      <alignment horizontal="center"/>
    </xf>
    <xf numFmtId="164" fontId="3" fillId="5" borderId="20" xfId="1" applyNumberFormat="1" applyFont="1" applyFill="1" applyBorder="1"/>
    <xf numFmtId="0" fontId="5" fillId="0" borderId="19" xfId="0" applyFont="1" applyFill="1" applyBorder="1"/>
    <xf numFmtId="0" fontId="4" fillId="0" borderId="20" xfId="0" applyFont="1" applyFill="1" applyBorder="1"/>
    <xf numFmtId="164" fontId="4" fillId="0" borderId="20" xfId="0" applyNumberFormat="1" applyFont="1" applyFill="1" applyBorder="1"/>
    <xf numFmtId="171" fontId="4" fillId="0" borderId="20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43" fontId="4" fillId="0" borderId="20" xfId="0" applyNumberFormat="1" applyFont="1" applyBorder="1" applyAlignment="1">
      <alignment horizontal="center"/>
    </xf>
    <xf numFmtId="164" fontId="3" fillId="0" borderId="19" xfId="1" applyNumberFormat="1" applyFont="1" applyBorder="1"/>
    <xf numFmtId="0" fontId="4" fillId="0" borderId="19" xfId="0" applyFont="1" applyFill="1" applyBorder="1" applyAlignment="1">
      <alignment horizontal="left"/>
    </xf>
    <xf numFmtId="164" fontId="2" fillId="0" borderId="0" xfId="1" applyNumberFormat="1" applyFont="1" applyFill="1"/>
    <xf numFmtId="164" fontId="2" fillId="0" borderId="0" xfId="1" applyNumberFormat="1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4" fillId="0" borderId="0" xfId="1" applyFont="1" applyFill="1"/>
    <xf numFmtId="0" fontId="4" fillId="0" borderId="0" xfId="0" applyFont="1" applyFill="1"/>
    <xf numFmtId="164" fontId="4" fillId="0" borderId="0" xfId="1" applyNumberFormat="1" applyFont="1" applyFill="1"/>
    <xf numFmtId="43" fontId="4" fillId="0" borderId="0" xfId="0" applyNumberFormat="1" applyFont="1" applyFill="1"/>
    <xf numFmtId="9" fontId="4" fillId="0" borderId="0" xfId="2" applyFont="1" applyFill="1"/>
    <xf numFmtId="0" fontId="5" fillId="0" borderId="19" xfId="0" applyFont="1" applyBorder="1"/>
    <xf numFmtId="0" fontId="4" fillId="0" borderId="20" xfId="0" applyFont="1" applyBorder="1"/>
    <xf numFmtId="0" fontId="5" fillId="0" borderId="20" xfId="0" applyFont="1" applyFill="1" applyBorder="1" applyAlignment="1">
      <alignment horizontal="center"/>
    </xf>
    <xf numFmtId="164" fontId="5" fillId="0" borderId="20" xfId="0" applyNumberFormat="1" applyFont="1" applyFill="1" applyBorder="1"/>
    <xf numFmtId="0" fontId="5" fillId="0" borderId="20" xfId="0" applyFont="1" applyBorder="1" applyAlignment="1">
      <alignment horizontal="center"/>
    </xf>
    <xf numFmtId="164" fontId="5" fillId="0" borderId="20" xfId="0" applyNumberFormat="1" applyFont="1" applyBorder="1"/>
    <xf numFmtId="0" fontId="3" fillId="7" borderId="23" xfId="3" applyFont="1" applyFill="1" applyBorder="1" applyAlignment="1">
      <alignment horizontal="center"/>
    </xf>
    <xf numFmtId="0" fontId="3" fillId="7" borderId="24" xfId="3" applyNumberFormat="1" applyFont="1" applyFill="1" applyBorder="1" applyAlignment="1">
      <alignment horizontal="center" vertical="center"/>
    </xf>
    <xf numFmtId="164" fontId="3" fillId="7" borderId="24" xfId="3" applyNumberFormat="1" applyFont="1" applyFill="1" applyBorder="1" applyAlignment="1">
      <alignment horizontal="center"/>
    </xf>
    <xf numFmtId="164" fontId="3" fillId="8" borderId="25" xfId="1" applyNumberFormat="1" applyFont="1" applyFill="1" applyBorder="1" applyAlignment="1">
      <alignment horizontal="center"/>
    </xf>
    <xf numFmtId="164" fontId="3" fillId="0" borderId="25" xfId="1" applyNumberFormat="1" applyFont="1" applyFill="1" applyBorder="1" applyAlignment="1">
      <alignment horizontal="center"/>
    </xf>
    <xf numFmtId="164" fontId="2" fillId="0" borderId="0" xfId="1" applyNumberFormat="1" applyFont="1" applyAlignment="1">
      <alignment horizontal="right"/>
    </xf>
    <xf numFmtId="164" fontId="4" fillId="0" borderId="0" xfId="1" applyNumberFormat="1" applyFont="1" applyFill="1" applyBorder="1"/>
    <xf numFmtId="164" fontId="4" fillId="0" borderId="0" xfId="0" applyNumberFormat="1" applyFont="1" applyFill="1" applyBorder="1"/>
    <xf numFmtId="0" fontId="4" fillId="0" borderId="0" xfId="0" applyFont="1" applyFill="1" applyBorder="1"/>
    <xf numFmtId="164" fontId="3" fillId="0" borderId="0" xfId="1" applyNumberFormat="1" applyFont="1" applyFill="1" applyBorder="1" applyAlignment="1">
      <alignment horizontal="center"/>
    </xf>
    <xf numFmtId="9" fontId="4" fillId="0" borderId="0" xfId="2" applyFont="1" applyBorder="1"/>
    <xf numFmtId="0" fontId="4" fillId="0" borderId="0" xfId="0" applyFont="1" applyBorder="1"/>
    <xf numFmtId="9" fontId="2" fillId="0" borderId="0" xfId="2" applyFont="1"/>
    <xf numFmtId="0" fontId="4" fillId="0" borderId="0" xfId="0" applyFont="1" applyBorder="1" applyAlignment="1">
      <alignment horizontal="right"/>
    </xf>
    <xf numFmtId="0" fontId="4" fillId="6" borderId="0" xfId="0" applyFont="1" applyFill="1" applyBorder="1" applyAlignment="1">
      <alignment horizontal="right"/>
    </xf>
    <xf numFmtId="2" fontId="4" fillId="0" borderId="0" xfId="0" applyNumberFormat="1" applyFont="1" applyBorder="1"/>
    <xf numFmtId="1" fontId="4" fillId="0" borderId="0" xfId="0" applyNumberFormat="1" applyFont="1" applyBorder="1"/>
    <xf numFmtId="43" fontId="4" fillId="0" borderId="0" xfId="1" applyFont="1" applyFill="1" applyBorder="1"/>
    <xf numFmtId="0" fontId="4" fillId="6" borderId="0" xfId="0" applyFont="1" applyFill="1" applyBorder="1"/>
    <xf numFmtId="164" fontId="4" fillId="0" borderId="0" xfId="1" applyNumberFormat="1" applyFont="1" applyBorder="1"/>
    <xf numFmtId="43" fontId="4" fillId="0" borderId="0" xfId="1" applyFont="1" applyBorder="1"/>
    <xf numFmtId="0" fontId="5" fillId="0" borderId="0" xfId="0" applyFont="1" applyBorder="1" applyAlignment="1">
      <alignment horizontal="center"/>
    </xf>
    <xf numFmtId="164" fontId="4" fillId="0" borderId="0" xfId="0" applyNumberFormat="1" applyFont="1" applyBorder="1"/>
    <xf numFmtId="10" fontId="4" fillId="0" borderId="0" xfId="2" applyNumberFormat="1" applyFont="1" applyBorder="1"/>
    <xf numFmtId="164" fontId="3" fillId="0" borderId="0" xfId="1" applyNumberFormat="1" applyFont="1" applyFill="1" applyBorder="1"/>
    <xf numFmtId="43" fontId="4" fillId="0" borderId="0" xfId="0" applyNumberFormat="1" applyFont="1" applyBorder="1"/>
    <xf numFmtId="164" fontId="5" fillId="0" borderId="0" xfId="0" applyNumberFormat="1" applyFont="1" applyFill="1" applyBorder="1"/>
    <xf numFmtId="164" fontId="3" fillId="0" borderId="0" xfId="3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3" fontId="6" fillId="0" borderId="22" xfId="1" applyFont="1" applyBorder="1" applyAlignment="1">
      <alignment horizontal="justify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</cellXfs>
  <cellStyles count="6">
    <cellStyle name="Millares" xfId="1" builtinId="3"/>
    <cellStyle name="Millares 2" xfId="5"/>
    <cellStyle name="Moneda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V268"/>
  <sheetViews>
    <sheetView tabSelected="1" workbookViewId="0">
      <selection activeCell="T141" sqref="T141"/>
    </sheetView>
  </sheetViews>
  <sheetFormatPr baseColWidth="10" defaultRowHeight="12.75" x14ac:dyDescent="0.2"/>
  <cols>
    <col min="1" max="1" width="1.42578125" style="8" customWidth="1"/>
    <col min="2" max="2" width="54.5703125" style="8" customWidth="1"/>
    <col min="3" max="3" width="12.42578125" style="8" customWidth="1"/>
    <col min="4" max="4" width="15.28515625" style="8" hidden="1" customWidth="1"/>
    <col min="5" max="5" width="8.5703125" style="8" hidden="1" customWidth="1"/>
    <col min="6" max="6" width="10.28515625" style="8" hidden="1" customWidth="1"/>
    <col min="7" max="7" width="13" style="27" customWidth="1"/>
    <col min="8" max="8" width="11.28515625" style="8" customWidth="1"/>
    <col min="9" max="9" width="15.42578125" style="8" customWidth="1"/>
    <col min="10" max="10" width="13.140625" style="8" hidden="1" customWidth="1"/>
    <col min="11" max="11" width="13.85546875" style="8" hidden="1" customWidth="1"/>
    <col min="12" max="12" width="14" style="8" customWidth="1"/>
    <col min="13" max="13" width="12.140625" style="8" customWidth="1"/>
    <col min="14" max="14" width="16.7109375" style="8" hidden="1" customWidth="1"/>
    <col min="15" max="15" width="13.42578125" style="8" customWidth="1"/>
    <col min="16" max="16" width="12.42578125" style="8" customWidth="1"/>
    <col min="17" max="17" width="11.140625" style="8" bestFit="1" customWidth="1"/>
    <col min="18" max="18" width="12.5703125" style="8" customWidth="1"/>
    <col min="19" max="19" width="12.140625" style="8" customWidth="1"/>
    <col min="20" max="20" width="12.7109375" style="8" customWidth="1"/>
    <col min="21" max="21" width="12.28515625" style="8" hidden="1" customWidth="1"/>
    <col min="22" max="22" width="11.28515625" style="8" customWidth="1"/>
    <col min="23" max="23" width="13.5703125" style="8" hidden="1" customWidth="1"/>
    <col min="24" max="24" width="16" style="8" customWidth="1"/>
    <col min="25" max="25" width="11.140625" style="8" hidden="1" customWidth="1"/>
    <col min="26" max="26" width="16.42578125" style="8" customWidth="1"/>
    <col min="27" max="27" width="13" style="8" hidden="1" customWidth="1"/>
    <col min="28" max="28" width="0" style="8" hidden="1" customWidth="1"/>
    <col min="29" max="29" width="11.7109375" style="8" hidden="1" customWidth="1"/>
    <col min="30" max="30" width="0" style="8" hidden="1" customWidth="1"/>
    <col min="31" max="31" width="11.85546875" style="8" hidden="1" customWidth="1"/>
    <col min="32" max="32" width="11.7109375" style="8" hidden="1" customWidth="1"/>
    <col min="33" max="33" width="0" style="8" hidden="1" customWidth="1"/>
    <col min="34" max="34" width="10.7109375" style="8" hidden="1" customWidth="1"/>
    <col min="35" max="35" width="15.5703125" style="8" hidden="1" customWidth="1"/>
    <col min="36" max="36" width="11.140625" style="8" hidden="1" customWidth="1"/>
    <col min="37" max="37" width="14.140625" style="8" hidden="1" customWidth="1"/>
    <col min="38" max="38" width="14.85546875" style="8" hidden="1" customWidth="1"/>
    <col min="39" max="39" width="1.5703125" style="8" hidden="1" customWidth="1"/>
    <col min="40" max="40" width="12.28515625" style="8" hidden="1" customWidth="1"/>
    <col min="41" max="41" width="1.85546875" style="8" hidden="1" customWidth="1"/>
    <col min="42" max="42" width="12" style="8" hidden="1" customWidth="1"/>
    <col min="43" max="43" width="0" style="8" hidden="1" customWidth="1"/>
    <col min="44" max="45" width="12.28515625" style="8" hidden="1" customWidth="1"/>
    <col min="46" max="47" width="0" style="8" hidden="1" customWidth="1"/>
    <col min="48" max="48" width="11.85546875" style="8" hidden="1" customWidth="1"/>
    <col min="49" max="49" width="7" style="8" hidden="1" customWidth="1"/>
    <col min="50" max="51" width="14.140625" style="8" hidden="1" customWidth="1"/>
    <col min="52" max="52" width="5.7109375" style="8" hidden="1" customWidth="1"/>
    <col min="53" max="53" width="12" style="8" hidden="1" customWidth="1"/>
    <col min="54" max="57" width="0" style="8" hidden="1" customWidth="1"/>
    <col min="58" max="58" width="4.140625" style="8" hidden="1" customWidth="1"/>
    <col min="59" max="59" width="14.28515625" style="8" hidden="1" customWidth="1"/>
    <col min="60" max="61" width="13.85546875" style="8" hidden="1" customWidth="1"/>
    <col min="62" max="62" width="12.85546875" style="8" hidden="1" customWidth="1"/>
    <col min="63" max="65" width="13.28515625" style="8" hidden="1" customWidth="1"/>
    <col min="66" max="66" width="11.42578125" style="8" hidden="1" customWidth="1"/>
    <col min="67" max="67" width="14.42578125" style="8" hidden="1" customWidth="1"/>
    <col min="68" max="68" width="13.42578125" style="8" hidden="1" customWidth="1"/>
    <col min="69" max="69" width="13.7109375" style="8" hidden="1" customWidth="1"/>
    <col min="70" max="75" width="0" style="8" hidden="1" customWidth="1"/>
    <col min="76" max="16384" width="11.42578125" style="8"/>
  </cols>
  <sheetData>
    <row r="1" spans="2:74" ht="13.5" thickBot="1" x14ac:dyDescent="0.25">
      <c r="B1" s="1"/>
      <c r="C1" s="2"/>
      <c r="D1" s="2"/>
      <c r="E1" s="2"/>
      <c r="F1" s="2"/>
      <c r="G1" s="3"/>
      <c r="H1" s="4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AB1" s="6"/>
      <c r="AC1" s="6">
        <v>5</v>
      </c>
      <c r="AD1" s="7" t="s">
        <v>0</v>
      </c>
      <c r="AE1" s="7">
        <v>50</v>
      </c>
      <c r="AF1" s="7"/>
      <c r="AG1" s="7"/>
      <c r="AH1" s="7"/>
      <c r="AI1" s="9">
        <f>+AH6</f>
        <v>75.489999999999995</v>
      </c>
      <c r="AJ1" s="7">
        <f>+AJ3/AJ2</f>
        <v>80.039999999999992</v>
      </c>
      <c r="AK1" s="10" t="s">
        <v>1</v>
      </c>
      <c r="AL1" s="11">
        <v>0.20399999999999999</v>
      </c>
    </row>
    <row r="2" spans="2:74" x14ac:dyDescent="0.2">
      <c r="B2" s="156" t="s">
        <v>2</v>
      </c>
      <c r="C2" s="157"/>
      <c r="D2" s="157"/>
      <c r="E2" s="157"/>
      <c r="F2" s="157"/>
      <c r="G2" s="157"/>
      <c r="H2" s="157"/>
      <c r="I2" s="158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AB2" s="6"/>
      <c r="AC2" s="14">
        <f>+AC1/365</f>
        <v>1.3698630136986301E-2</v>
      </c>
      <c r="AD2" s="13" t="s">
        <v>3</v>
      </c>
      <c r="AE2" s="13">
        <f>20*0.25</f>
        <v>5</v>
      </c>
      <c r="AF2" s="13"/>
      <c r="AG2" s="13"/>
      <c r="AH2" s="13"/>
      <c r="AI2" s="13">
        <v>7.5</v>
      </c>
      <c r="AJ2" s="13">
        <v>7.5</v>
      </c>
      <c r="AK2" s="10" t="s">
        <v>4</v>
      </c>
      <c r="AL2" s="15">
        <v>75.489999999999995</v>
      </c>
      <c r="AP2" s="16"/>
    </row>
    <row r="3" spans="2:74" x14ac:dyDescent="0.2">
      <c r="B3" s="159" t="s">
        <v>5</v>
      </c>
      <c r="C3" s="160"/>
      <c r="D3" s="160"/>
      <c r="E3" s="160"/>
      <c r="F3" s="160"/>
      <c r="G3" s="160"/>
      <c r="H3" s="160"/>
      <c r="I3" s="161"/>
      <c r="L3" s="17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AB3" s="6"/>
      <c r="AC3" s="18">
        <f>+AC2*30.4</f>
        <v>0.41643835616438352</v>
      </c>
      <c r="AD3" s="13" t="s">
        <v>6</v>
      </c>
      <c r="AE3" s="13">
        <f>+AE1+AE2</f>
        <v>55</v>
      </c>
      <c r="AF3" s="13"/>
      <c r="AG3" s="19" t="s">
        <v>7</v>
      </c>
      <c r="AH3" s="20">
        <f>+AE4+1</f>
        <v>1.1506849315068493</v>
      </c>
      <c r="AI3" s="13">
        <f>+AI1*AI2</f>
        <v>566.17499999999995</v>
      </c>
      <c r="AJ3" s="8">
        <v>600.29999999999995</v>
      </c>
      <c r="AK3" s="10" t="s">
        <v>8</v>
      </c>
      <c r="AL3" s="15">
        <v>30</v>
      </c>
    </row>
    <row r="4" spans="2:74" x14ac:dyDescent="0.2">
      <c r="B4" s="159" t="s">
        <v>9</v>
      </c>
      <c r="C4" s="160"/>
      <c r="D4" s="160"/>
      <c r="E4" s="160"/>
      <c r="F4" s="160"/>
      <c r="G4" s="160"/>
      <c r="H4" s="160"/>
      <c r="I4" s="161"/>
      <c r="L4" s="21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AB4" s="22">
        <f>15+31</f>
        <v>46</v>
      </c>
      <c r="AC4" s="16">
        <f>+AB4*AC2</f>
        <v>0.63013698630136983</v>
      </c>
      <c r="AD4" s="13" t="s">
        <v>10</v>
      </c>
      <c r="AE4" s="13">
        <f>+AE3/365</f>
        <v>0.15068493150684931</v>
      </c>
      <c r="AF4" s="13"/>
      <c r="AG4" s="19" t="s">
        <v>11</v>
      </c>
      <c r="AH4" s="23">
        <f>+AL2*0.4</f>
        <v>30.195999999999998</v>
      </c>
      <c r="AK4" s="10" t="s">
        <v>12</v>
      </c>
      <c r="AL4" s="11">
        <v>1.0999999999999999E-2</v>
      </c>
    </row>
    <row r="5" spans="2:74" ht="13.5" thickBot="1" x14ac:dyDescent="0.25">
      <c r="B5" s="162" t="s">
        <v>13</v>
      </c>
      <c r="C5" s="163"/>
      <c r="D5" s="163"/>
      <c r="E5" s="163"/>
      <c r="F5" s="163"/>
      <c r="G5" s="163"/>
      <c r="H5" s="163"/>
      <c r="I5" s="164"/>
      <c r="L5" s="13"/>
      <c r="M5" s="13"/>
      <c r="N5" s="12"/>
      <c r="O5" s="13"/>
      <c r="P5" s="13"/>
      <c r="Q5" s="13"/>
      <c r="R5" s="13"/>
      <c r="S5" s="13"/>
      <c r="T5" s="13"/>
      <c r="U5" s="13"/>
      <c r="V5" s="13"/>
      <c r="W5" s="13"/>
      <c r="AB5" s="22">
        <v>319</v>
      </c>
      <c r="AC5" s="24">
        <f>+AB5*AC2</f>
        <v>4.3698630136986303</v>
      </c>
      <c r="AD5" s="13"/>
      <c r="AE5" s="13"/>
      <c r="AH5" s="25" t="s">
        <v>14</v>
      </c>
      <c r="AI5" s="8">
        <v>25</v>
      </c>
      <c r="AJ5" s="8" t="s">
        <v>15</v>
      </c>
      <c r="AK5" s="10" t="s">
        <v>16</v>
      </c>
      <c r="AL5" s="11">
        <v>4.0000000000000001E-3</v>
      </c>
      <c r="AP5" s="152" t="s">
        <v>17</v>
      </c>
      <c r="AQ5" s="153"/>
      <c r="AR5" s="153"/>
      <c r="AS5" s="153"/>
      <c r="AT5" s="153"/>
      <c r="AU5" s="153"/>
      <c r="AV5" s="153"/>
      <c r="AW5" s="153"/>
      <c r="AX5" s="154"/>
      <c r="AY5" s="26"/>
      <c r="BA5" s="152" t="s">
        <v>18</v>
      </c>
      <c r="BB5" s="153"/>
      <c r="BC5" s="153"/>
      <c r="BD5" s="153"/>
      <c r="BE5" s="154"/>
      <c r="BG5" s="152" t="s">
        <v>19</v>
      </c>
      <c r="BH5" s="153"/>
      <c r="BI5" s="153"/>
      <c r="BJ5" s="153"/>
      <c r="BK5" s="153"/>
      <c r="BL5" s="154"/>
      <c r="BM5" s="26"/>
    </row>
    <row r="6" spans="2:74" ht="13.5" thickBot="1" x14ac:dyDescent="0.25">
      <c r="B6" s="1"/>
      <c r="C6" s="7"/>
      <c r="D6" s="7"/>
      <c r="E6" s="7"/>
      <c r="H6" s="7"/>
      <c r="I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AB6" s="28">
        <v>42690</v>
      </c>
      <c r="AC6" s="7" t="s">
        <v>20</v>
      </c>
      <c r="AD6" s="29">
        <v>1.5</v>
      </c>
      <c r="AE6" s="7"/>
      <c r="AF6" s="8" t="s">
        <v>21</v>
      </c>
      <c r="AG6" s="30" t="s">
        <v>22</v>
      </c>
      <c r="AH6" s="31">
        <v>75.489999999999995</v>
      </c>
      <c r="AI6" s="8">
        <f>+AI5*AH6</f>
        <v>1887.2499999999998</v>
      </c>
      <c r="AJ6" s="8" t="s">
        <v>23</v>
      </c>
      <c r="AK6" s="10" t="s">
        <v>24</v>
      </c>
      <c r="AL6" s="11">
        <v>7.9150000000000002E-3</v>
      </c>
      <c r="AQ6" s="30" t="s">
        <v>25</v>
      </c>
      <c r="AR6" s="30" t="s">
        <v>25</v>
      </c>
      <c r="AS6" s="30" t="s">
        <v>26</v>
      </c>
      <c r="AT6" s="30" t="s">
        <v>26</v>
      </c>
      <c r="AU6" s="30" t="s">
        <v>27</v>
      </c>
      <c r="AV6" s="30" t="s">
        <v>26</v>
      </c>
      <c r="AW6" s="30" t="s">
        <v>28</v>
      </c>
      <c r="AX6" s="30" t="s">
        <v>29</v>
      </c>
      <c r="AY6" s="30"/>
    </row>
    <row r="7" spans="2:74" ht="64.5" thickBot="1" x14ac:dyDescent="0.25">
      <c r="B7" s="32" t="s">
        <v>30</v>
      </c>
      <c r="C7" s="33" t="s">
        <v>31</v>
      </c>
      <c r="D7" s="33" t="s">
        <v>32</v>
      </c>
      <c r="E7" s="34">
        <v>1</v>
      </c>
      <c r="F7" s="35">
        <v>0.33</v>
      </c>
      <c r="G7" s="36" t="s">
        <v>33</v>
      </c>
      <c r="H7" s="33" t="s">
        <v>34</v>
      </c>
      <c r="I7" s="33" t="s">
        <v>35</v>
      </c>
      <c r="J7" s="33" t="s">
        <v>36</v>
      </c>
      <c r="K7" s="33" t="s">
        <v>37</v>
      </c>
      <c r="L7" s="33" t="s">
        <v>38</v>
      </c>
      <c r="M7" s="33" t="s">
        <v>39</v>
      </c>
      <c r="N7" s="33" t="s">
        <v>40</v>
      </c>
      <c r="O7" s="35" t="s">
        <v>41</v>
      </c>
      <c r="P7" s="33" t="s">
        <v>42</v>
      </c>
      <c r="Q7" s="33" t="s">
        <v>43</v>
      </c>
      <c r="R7" s="33" t="s">
        <v>44</v>
      </c>
      <c r="S7" s="33" t="s">
        <v>45</v>
      </c>
      <c r="T7" s="33" t="s">
        <v>46</v>
      </c>
      <c r="U7" s="33" t="s">
        <v>47</v>
      </c>
      <c r="V7" s="33" t="s">
        <v>48</v>
      </c>
      <c r="W7" s="33" t="s">
        <v>49</v>
      </c>
      <c r="X7" s="33" t="s">
        <v>50</v>
      </c>
      <c r="Y7" s="33" t="s">
        <v>51</v>
      </c>
      <c r="Z7" s="37" t="s">
        <v>52</v>
      </c>
      <c r="AA7" s="7"/>
      <c r="AB7" s="38" t="s">
        <v>53</v>
      </c>
      <c r="AC7" s="38" t="s">
        <v>54</v>
      </c>
      <c r="AD7" s="38" t="s">
        <v>55</v>
      </c>
      <c r="AE7" s="38" t="s">
        <v>56</v>
      </c>
      <c r="AF7" s="39" t="s">
        <v>57</v>
      </c>
      <c r="AG7" s="39" t="s">
        <v>58</v>
      </c>
      <c r="AH7" s="39" t="s">
        <v>59</v>
      </c>
      <c r="AI7" s="39" t="s">
        <v>60</v>
      </c>
      <c r="AJ7" s="39" t="s">
        <v>61</v>
      </c>
      <c r="AK7" s="39" t="s">
        <v>62</v>
      </c>
      <c r="AL7" s="39" t="s">
        <v>63</v>
      </c>
      <c r="AN7" s="39" t="s">
        <v>64</v>
      </c>
      <c r="AP7" s="39" t="s">
        <v>65</v>
      </c>
      <c r="AQ7" s="39" t="s">
        <v>66</v>
      </c>
      <c r="AR7" s="39" t="s">
        <v>67</v>
      </c>
      <c r="AS7" s="39" t="s">
        <v>68</v>
      </c>
      <c r="AT7" s="39" t="s">
        <v>69</v>
      </c>
      <c r="AU7" s="39" t="s">
        <v>70</v>
      </c>
      <c r="AV7" s="39" t="s">
        <v>71</v>
      </c>
      <c r="AW7" s="39" t="s">
        <v>72</v>
      </c>
      <c r="AX7" s="39" t="s">
        <v>73</v>
      </c>
      <c r="AY7" s="26" t="s">
        <v>74</v>
      </c>
      <c r="BA7" s="39" t="s">
        <v>75</v>
      </c>
      <c r="BB7" s="39" t="s">
        <v>76</v>
      </c>
      <c r="BC7" s="39" t="s">
        <v>77</v>
      </c>
      <c r="BD7" s="39" t="s">
        <v>78</v>
      </c>
      <c r="BE7" s="39" t="s">
        <v>79</v>
      </c>
      <c r="BG7" s="39" t="s">
        <v>80</v>
      </c>
      <c r="BH7" s="39" t="s">
        <v>65</v>
      </c>
      <c r="BI7" s="39" t="s">
        <v>81</v>
      </c>
      <c r="BJ7" s="39" t="s">
        <v>82</v>
      </c>
      <c r="BK7" s="39" t="s">
        <v>83</v>
      </c>
      <c r="BL7" s="39" t="s">
        <v>42</v>
      </c>
      <c r="BM7" s="26"/>
    </row>
    <row r="8" spans="2:74" x14ac:dyDescent="0.2">
      <c r="B8" s="40"/>
      <c r="C8" s="41"/>
      <c r="D8" s="41"/>
      <c r="E8" s="41"/>
      <c r="F8" s="41"/>
      <c r="G8" s="42"/>
      <c r="H8" s="43"/>
      <c r="I8" s="44"/>
      <c r="J8" s="44"/>
      <c r="K8" s="44"/>
      <c r="L8" s="7"/>
      <c r="M8" s="45"/>
      <c r="N8" s="45"/>
      <c r="O8" s="41"/>
      <c r="P8" s="45"/>
      <c r="Q8" s="46"/>
      <c r="U8" s="47"/>
      <c r="V8" s="7"/>
      <c r="W8" s="7"/>
      <c r="X8" s="7"/>
      <c r="Y8" s="7"/>
      <c r="AA8" s="7"/>
      <c r="AB8" s="48">
        <v>0.03</v>
      </c>
      <c r="AC8" s="49">
        <v>0.17499999999999999</v>
      </c>
      <c r="AD8" s="48">
        <v>0.02</v>
      </c>
      <c r="AE8" s="50">
        <v>50402</v>
      </c>
      <c r="AF8" s="51">
        <v>0.20399999999999999</v>
      </c>
      <c r="AG8" s="51">
        <v>1.0999999999999999E-2</v>
      </c>
      <c r="AH8" s="51">
        <v>4.0000000000000001E-3</v>
      </c>
      <c r="AI8" s="52">
        <v>7.9150000000000002E-3</v>
      </c>
    </row>
    <row r="9" spans="2:74" ht="13.5" thickBot="1" x14ac:dyDescent="0.25">
      <c r="B9" s="40"/>
      <c r="C9" s="41"/>
      <c r="D9" s="41"/>
      <c r="E9" s="41"/>
      <c r="F9" s="41"/>
      <c r="G9" s="42"/>
      <c r="H9" s="43"/>
      <c r="I9" s="44"/>
      <c r="J9" s="44"/>
      <c r="K9" s="44"/>
      <c r="L9" s="7"/>
      <c r="M9" s="45"/>
      <c r="N9" s="45"/>
      <c r="O9" s="41"/>
      <c r="P9" s="45"/>
      <c r="Q9" s="46"/>
      <c r="U9" s="47"/>
      <c r="V9" s="7"/>
      <c r="W9" s="7"/>
      <c r="X9" s="7"/>
      <c r="Y9" s="7"/>
      <c r="Z9" s="7"/>
      <c r="AA9" s="7"/>
      <c r="AB9" s="46"/>
      <c r="AC9" s="53"/>
      <c r="AD9" s="54">
        <f>7.5*2*AH6</f>
        <v>1132.3499999999999</v>
      </c>
      <c r="AE9" s="7"/>
      <c r="AF9" s="3">
        <v>365</v>
      </c>
      <c r="AG9" s="3">
        <f>+AF9</f>
        <v>365</v>
      </c>
      <c r="AH9" s="3">
        <f>+AG9</f>
        <v>365</v>
      </c>
      <c r="AI9" s="55">
        <f>+AH9</f>
        <v>365</v>
      </c>
      <c r="BP9" s="8">
        <v>496.08</v>
      </c>
      <c r="BQ9" s="56">
        <f>VLOOKUP(BP9,BO17:BR39,4)</f>
        <v>6.4000000000000001E-2</v>
      </c>
    </row>
    <row r="10" spans="2:74" x14ac:dyDescent="0.2">
      <c r="B10" s="57" t="s">
        <v>84</v>
      </c>
      <c r="C10" s="58"/>
      <c r="D10" s="59"/>
      <c r="E10" s="58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3"/>
      <c r="AB10" s="42"/>
      <c r="AC10" s="60"/>
      <c r="AD10" s="61"/>
      <c r="AE10" s="61"/>
      <c r="AF10" s="62"/>
      <c r="AG10" s="62"/>
      <c r="AH10" s="62"/>
      <c r="AI10" s="62"/>
      <c r="AJ10" s="62"/>
      <c r="AK10" s="62"/>
      <c r="AL10" s="62"/>
      <c r="AP10" s="62"/>
    </row>
    <row r="11" spans="2:74" x14ac:dyDescent="0.2">
      <c r="B11" s="63" t="s">
        <v>85</v>
      </c>
      <c r="C11" s="64">
        <v>6</v>
      </c>
      <c r="D11" s="65">
        <v>139868</v>
      </c>
      <c r="E11" s="64"/>
      <c r="F11" s="65"/>
      <c r="G11" s="65">
        <v>139868</v>
      </c>
      <c r="H11" s="65">
        <v>839208</v>
      </c>
      <c r="I11" s="65">
        <v>10070496</v>
      </c>
      <c r="J11" s="65">
        <v>20582.066447488589</v>
      </c>
      <c r="K11" s="65">
        <v>2967.946885844749</v>
      </c>
      <c r="L11" s="65">
        <v>141300.08000000002</v>
      </c>
      <c r="M11" s="65">
        <v>1413000.8000000003</v>
      </c>
      <c r="N11" s="65"/>
      <c r="O11" s="65"/>
      <c r="P11" s="65">
        <v>475800.50839999958</v>
      </c>
      <c r="Q11" s="65">
        <v>120995.84381249998</v>
      </c>
      <c r="R11" s="65">
        <v>302114.88</v>
      </c>
      <c r="S11" s="65">
        <v>1762336.7999999998</v>
      </c>
      <c r="T11" s="65">
        <v>81529.2</v>
      </c>
      <c r="U11" s="65">
        <v>716.04</v>
      </c>
      <c r="V11" s="65">
        <v>51554.879999999997</v>
      </c>
      <c r="W11" s="65">
        <v>716.04</v>
      </c>
      <c r="X11" s="65">
        <v>51554.879999999997</v>
      </c>
      <c r="Y11" s="65">
        <v>0</v>
      </c>
      <c r="Z11" s="65">
        <v>0</v>
      </c>
      <c r="AB11" s="42">
        <f>+(G11+W11)/30</f>
        <v>4686.1346666666668</v>
      </c>
      <c r="AC11" s="60">
        <f>IF(((U11/30)&lt;$AH$4),0,((U11/30)-$AH$4))</f>
        <v>0</v>
      </c>
      <c r="AD11" s="61">
        <f>+AB11+AC11</f>
        <v>4686.1346666666668</v>
      </c>
      <c r="AE11" s="61">
        <f>IF((AD11*$AH$3)&gt;$AI$6,$AI$6,(AD11*$AH$3))</f>
        <v>1887.2499999999998</v>
      </c>
      <c r="AF11" s="62">
        <f>+$AL$1*$AL$2*$AF$9</f>
        <v>5620.9853999999996</v>
      </c>
      <c r="AG11" s="62">
        <f>+IF(AE11&gt;($AH$6*3),(AE11-($AH$6*3))*$AG$8,0)*$AG$9</f>
        <v>6668.0316999999986</v>
      </c>
      <c r="AH11" s="62">
        <f>+IF(AE11&gt;($AH$6*3),(AE11-($AH$6*3))*$AH$8,0)*$AH$9</f>
        <v>2424.7387999999996</v>
      </c>
      <c r="AI11" s="62">
        <f>+(AE11*$AI$9)*$AI$8</f>
        <v>5452.2180687499995</v>
      </c>
      <c r="AJ11" s="62">
        <f>+AF11+AG11+AI11</f>
        <v>17741.235168749998</v>
      </c>
      <c r="AK11" s="62">
        <f>+AH11</f>
        <v>2424.7387999999996</v>
      </c>
      <c r="AL11" s="62">
        <f>+AJ11+AK11</f>
        <v>20165.973968749997</v>
      </c>
      <c r="AN11" s="27">
        <f>+AT11*C11</f>
        <v>248677.56960000008</v>
      </c>
      <c r="AP11" s="66">
        <f>+((M11/C11)-($AL$2*30))</f>
        <v>233235.43333333338</v>
      </c>
      <c r="AQ11" s="55">
        <f t="shared" ref="AQ11:AQ13" si="0">+AP11/365*30.4</f>
        <v>19425.636091324202</v>
      </c>
      <c r="AR11" s="16">
        <f t="shared" ref="AR11:AR13" si="1">+G11+U11+W11+AQ11</f>
        <v>160725.71609132423</v>
      </c>
      <c r="AS11" s="55">
        <f>((AR11-VLOOKUP(AR11,$BO$17:$BR$39,1))*VLOOKUP(AR11,$BO$17:$BR$39,4)+VLOOKUP(AR11,$BO$17:$BR$39,3))-VLOOKUP(AR11,$BT$17:$BV$39,3)</f>
        <v>48050.977871050243</v>
      </c>
      <c r="AT11" s="55">
        <f>(((G11+U11+W11)-VLOOKUP((G11+U11+W11),$BO$17:$BR$39,1))*VLOOKUP((G11+U11+W11),$BO$17:$BR$39,4)+VLOOKUP((G11+U11+W11),$BO$17:$BR$39,3))-VLOOKUP((G11+U11+W11),$BT$17:$BV$39,3)</f>
        <v>41446.261600000013</v>
      </c>
      <c r="AU11" s="55">
        <f t="shared" ref="AU11:AU13" si="2">+AS11-AT11</f>
        <v>6604.7162710502307</v>
      </c>
      <c r="AV11" s="16">
        <f t="shared" ref="AV11:AV13" si="3">+AR11+AQ11</f>
        <v>180151.35218264844</v>
      </c>
      <c r="AW11" s="56">
        <f t="shared" ref="AW11:AW13" si="4">+(AU11/AQ11)</f>
        <v>0.34000000000000008</v>
      </c>
      <c r="AX11" s="62">
        <f>+AP11*AW11</f>
        <v>79300.047333333365</v>
      </c>
      <c r="AY11" s="62">
        <f>+AX11*C11</f>
        <v>475800.28400000022</v>
      </c>
      <c r="AZ11" s="16"/>
      <c r="BA11" s="16">
        <f>+AP11+AR11</f>
        <v>393961.14942465757</v>
      </c>
      <c r="BB11" s="55">
        <f>((BA11-VLOOKUP(BA11,$BO$17:$BR$39,1))*VLOOKUP(BA11,$BO$17:$BR$39,4)+VLOOKUP(BA11,$BO$17:$BR$39,3))-VLOOKUP(BA11,$BT$17:$BV$39,3)</f>
        <v>128790.62879863015</v>
      </c>
      <c r="BC11" s="55">
        <f>+AT11</f>
        <v>41446.261600000013</v>
      </c>
      <c r="BD11" s="55">
        <f>+BB11-BC11</f>
        <v>87344.367198630134</v>
      </c>
      <c r="BE11" s="55">
        <f>+BD11*C11</f>
        <v>524066.20319178083</v>
      </c>
      <c r="BF11" s="56"/>
      <c r="BG11" s="62">
        <f>+(G11+U11+W11)*12</f>
        <v>1695600.9600000002</v>
      </c>
      <c r="BH11" s="62">
        <f>+AP11</f>
        <v>233235.43333333338</v>
      </c>
      <c r="BI11" s="62">
        <f>+BG11+BH11</f>
        <v>1928836.3933333335</v>
      </c>
      <c r="BJ11" s="55">
        <f>((BI11-VLOOKUP(BI11,$BO$45:$BR$61,1))*VLOOKUP(BI11,$BO$45:$BR$61,4)+VLOOKUP(BI11,$BO$45:$BR$61,3))</f>
        <v>576655.22393333341</v>
      </c>
      <c r="BK11" s="55">
        <f>+AT11*12</f>
        <v>497355.13920000015</v>
      </c>
      <c r="BL11" s="55">
        <f>+(BJ11-BK11)</f>
        <v>79300.084733333264</v>
      </c>
      <c r="BM11" s="55">
        <f>+BL11*C11</f>
        <v>475800.50839999958</v>
      </c>
      <c r="BN11" s="67"/>
    </row>
    <row r="12" spans="2:74" ht="13.5" customHeight="1" x14ac:dyDescent="0.2">
      <c r="B12" s="63" t="s">
        <v>86</v>
      </c>
      <c r="C12" s="64">
        <v>6</v>
      </c>
      <c r="D12" s="65">
        <v>33058</v>
      </c>
      <c r="E12" s="64"/>
      <c r="F12" s="65">
        <v>10909.140000000001</v>
      </c>
      <c r="G12" s="65">
        <v>33058</v>
      </c>
      <c r="H12" s="65">
        <v>198348</v>
      </c>
      <c r="I12" s="65">
        <v>2380176</v>
      </c>
      <c r="J12" s="65">
        <v>5022.0955847031955</v>
      </c>
      <c r="K12" s="65">
        <v>953.33108538812769</v>
      </c>
      <c r="L12" s="65">
        <v>35852.560020547942</v>
      </c>
      <c r="M12" s="65">
        <v>358525.60020547942</v>
      </c>
      <c r="N12" s="65">
        <v>16363.710000000003</v>
      </c>
      <c r="O12" s="65">
        <v>98182.260000000009</v>
      </c>
      <c r="P12" s="65">
        <v>103481.41806164378</v>
      </c>
      <c r="Q12" s="65">
        <v>89918.394780000002</v>
      </c>
      <c r="R12" s="68">
        <v>71405.279999999999</v>
      </c>
      <c r="S12" s="65">
        <v>416530.79999999993</v>
      </c>
      <c r="T12" s="65">
        <v>47603.520000000004</v>
      </c>
      <c r="U12" s="65">
        <v>709.85474999999997</v>
      </c>
      <c r="V12" s="65">
        <v>51109.542000000001</v>
      </c>
      <c r="W12" s="65">
        <v>709.85474999999997</v>
      </c>
      <c r="X12" s="65">
        <v>51109.542000000001</v>
      </c>
      <c r="Y12" s="65">
        <v>0</v>
      </c>
      <c r="Z12" s="65">
        <v>99174</v>
      </c>
      <c r="AB12" s="42">
        <f>+G12/30</f>
        <v>1101.9333333333334</v>
      </c>
      <c r="AC12" s="60">
        <f>IF(((U12/30)&lt;$AH$4),0,((U12/30)-$AH$4))</f>
        <v>0</v>
      </c>
      <c r="AD12" s="61">
        <f>+AB12+AC12</f>
        <v>1101.9333333333334</v>
      </c>
      <c r="AE12" s="61">
        <f>IF((AD12*$AH$3)&gt;$AI$6,$AI$6,(AD12*$AH$3))</f>
        <v>1267.9780821917809</v>
      </c>
      <c r="AF12" s="62">
        <f>+$AL$1*$AL$2*$AF$9</f>
        <v>5620.9853999999996</v>
      </c>
      <c r="AG12" s="62">
        <f>+IF(AE12&gt;($AH$6*3),(AE12-($AH$6*3))*$AG$8,0)*$AG$9</f>
        <v>4181.6549500000001</v>
      </c>
      <c r="AH12" s="62">
        <f>+IF(AE12&gt;($AH$6*3),(AE12-($AH$6*3))*$AH$8,0)*$AH$9</f>
        <v>1520.6017999999999</v>
      </c>
      <c r="AI12" s="62">
        <f>+(AE12*$AI$9)*$AI$8</f>
        <v>3663.1569800000007</v>
      </c>
      <c r="AJ12" s="62">
        <f t="shared" ref="AJ12:AJ61" si="5">+AF12+AG12+AI12</f>
        <v>13465.797330000001</v>
      </c>
      <c r="AK12" s="62">
        <f t="shared" ref="AK12:AK61" si="6">+AH12</f>
        <v>1520.6017999999999</v>
      </c>
      <c r="AL12" s="62">
        <f t="shared" ref="AL12:AL61" si="7">+AJ12+AK12</f>
        <v>14986.399130000002</v>
      </c>
      <c r="AN12" s="27">
        <f>+AT12*C12</f>
        <v>39985.26509999999</v>
      </c>
      <c r="AP12" s="66">
        <f t="shared" ref="AP12:AP13" si="8">+((M12/C12)-($AL$2*30))</f>
        <v>57489.566700913238</v>
      </c>
      <c r="AQ12" s="55">
        <f t="shared" si="0"/>
        <v>4788.172130706198</v>
      </c>
      <c r="AR12" s="16">
        <f t="shared" si="1"/>
        <v>39265.881630706193</v>
      </c>
      <c r="AS12" s="55">
        <f t="shared" ref="AS12:AS13" si="9">((AR12-VLOOKUP(AR12,$BO$17:$BR$39,1))*VLOOKUP(AR12,$BO$17:$BR$39,4)+VLOOKUP(AR12,$BO$17:$BR$39,3))-VLOOKUP(AR12,$BT$17:$BV$39,3)</f>
        <v>8100.662489211858</v>
      </c>
      <c r="AT12" s="55">
        <f t="shared" ref="AT12:AT13" si="10">(((G12+U12+W12)-VLOOKUP((G12+U12+W12),$BO$17:$BR$39,1))*VLOOKUP((G12+U12+W12),$BO$17:$BR$39,4)+VLOOKUP((G12+U12+W12),$BO$17:$BR$39,3))-VLOOKUP((G12+U12+W12),$BT$17:$BV$39,3)</f>
        <v>6664.2108499999986</v>
      </c>
      <c r="AU12" s="55">
        <f t="shared" si="2"/>
        <v>1436.4516392118594</v>
      </c>
      <c r="AV12" s="16">
        <f t="shared" si="3"/>
        <v>44054.05376141239</v>
      </c>
      <c r="AW12" s="56">
        <f t="shared" si="4"/>
        <v>0.3</v>
      </c>
      <c r="AX12" s="62">
        <f t="shared" ref="AX12:AX13" si="11">+AP12*AW12</f>
        <v>17246.870010273971</v>
      </c>
      <c r="AY12" s="62">
        <f t="shared" ref="AY12:AY13" si="12">+AX12*C12</f>
        <v>103481.22006164383</v>
      </c>
      <c r="AZ12" s="16"/>
      <c r="BA12" s="16">
        <f>+AP12+AR12</f>
        <v>96755.448331619438</v>
      </c>
      <c r="BB12" s="55">
        <f>((BA12-VLOOKUP(BA12,$BO$17:$BR$39,1))*VLOOKUP(BA12,$BO$17:$BR$39,4)+VLOOKUP(BA12,$BO$17:$BR$39,3))-VLOOKUP(BA12,$BT$17:$BV$39,3)</f>
        <v>26301.08683275061</v>
      </c>
      <c r="BC12" s="55">
        <f>+AT12</f>
        <v>6664.2108499999986</v>
      </c>
      <c r="BD12" s="55">
        <f t="shared" ref="BD12:BD61" si="13">+BB12-BC12</f>
        <v>19636.875982750611</v>
      </c>
      <c r="BE12" s="55">
        <f>+BD12*C12</f>
        <v>117821.25589650366</v>
      </c>
      <c r="BF12" s="56"/>
      <c r="BG12" s="62">
        <f t="shared" ref="BG12:BG13" si="14">+(G12+U12+W12)*12</f>
        <v>413732.51399999997</v>
      </c>
      <c r="BH12" s="62">
        <f>+AP12</f>
        <v>57489.566700913238</v>
      </c>
      <c r="BI12" s="62">
        <f>+BG12+BH12</f>
        <v>471222.08070091321</v>
      </c>
      <c r="BJ12" s="55">
        <f>((BI12-VLOOKUP(BI12,$BO$45:$BR$61,1))*VLOOKUP(BI12,$BO$45:$BR$61,4)+VLOOKUP(BI12,$BO$45:$BR$61,3))</f>
        <v>97217.433210273943</v>
      </c>
      <c r="BK12" s="55">
        <f>+AT12*12</f>
        <v>79970.530199999979</v>
      </c>
      <c r="BL12" s="55">
        <f t="shared" ref="BL12:BL13" si="15">+BJ12-BK12</f>
        <v>17246.903010273963</v>
      </c>
      <c r="BM12" s="55">
        <f t="shared" ref="BM12:BM13" si="16">+BL12*C12</f>
        <v>103481.41806164378</v>
      </c>
      <c r="BN12" s="67"/>
      <c r="BO12" s="69" t="s">
        <v>87</v>
      </c>
      <c r="BQ12" s="70" t="s">
        <v>88</v>
      </c>
      <c r="BR12" s="71"/>
      <c r="BT12" s="72" t="s">
        <v>89</v>
      </c>
      <c r="BU12" s="62"/>
      <c r="BV12" s="62"/>
    </row>
    <row r="13" spans="2:74" ht="13.5" thickBot="1" x14ac:dyDescent="0.25">
      <c r="B13" s="63" t="s">
        <v>90</v>
      </c>
      <c r="C13" s="64">
        <v>6</v>
      </c>
      <c r="D13" s="65">
        <v>19561</v>
      </c>
      <c r="E13" s="64"/>
      <c r="F13" s="65">
        <v>6455.13</v>
      </c>
      <c r="G13" s="65">
        <v>19561</v>
      </c>
      <c r="H13" s="65">
        <v>117366</v>
      </c>
      <c r="I13" s="65">
        <v>1408392</v>
      </c>
      <c r="J13" s="65">
        <v>3206.0226690011414</v>
      </c>
      <c r="K13" s="65">
        <v>597.89768439497709</v>
      </c>
      <c r="L13" s="65">
        <v>22823.522120376711</v>
      </c>
      <c r="M13" s="65">
        <v>228235.22120376711</v>
      </c>
      <c r="N13" s="65">
        <v>9682.6949999999997</v>
      </c>
      <c r="O13" s="65">
        <v>58096.17</v>
      </c>
      <c r="P13" s="65">
        <v>50485.134619125995</v>
      </c>
      <c r="Q13" s="65">
        <v>64551.85718249662</v>
      </c>
      <c r="R13" s="65">
        <v>42251.759999999995</v>
      </c>
      <c r="S13" s="65">
        <v>246468.59999999998</v>
      </c>
      <c r="T13" s="65">
        <v>28167.840000000004</v>
      </c>
      <c r="U13" s="65">
        <v>1224.49944375</v>
      </c>
      <c r="V13" s="65">
        <v>88163.959949999989</v>
      </c>
      <c r="W13" s="65">
        <v>1224.49944375</v>
      </c>
      <c r="X13" s="65">
        <v>88163.959949999989</v>
      </c>
      <c r="Y13" s="65">
        <v>0</v>
      </c>
      <c r="Z13" s="65">
        <v>58683</v>
      </c>
      <c r="AA13" s="42"/>
      <c r="AB13" s="42">
        <f>+G13/30</f>
        <v>652.0333333333333</v>
      </c>
      <c r="AC13" s="60">
        <f>IF(((U13/30)&lt;$AH$4),0,((U13/30)-$AH$4))</f>
        <v>10.620648125000002</v>
      </c>
      <c r="AD13" s="61">
        <f>+AB13+AC13</f>
        <v>662.65398145833331</v>
      </c>
      <c r="AE13" s="61">
        <f>IF((AD13*$AH$3)&gt;$AI$6,$AI$6,(AD13*$AH$3))</f>
        <v>762.50595126712324</v>
      </c>
      <c r="AF13" s="62">
        <f>+$AL$1*$AL$2*$AF$9</f>
        <v>5620.9853999999996</v>
      </c>
      <c r="AG13" s="62">
        <f>+IF(AE13&gt;($AH$6*3),(AE13-($AH$6*3))*$AG$8,0)*$AG$9</f>
        <v>2152.1843443374996</v>
      </c>
      <c r="AH13" s="62">
        <f>+IF(AE13&gt;($AH$6*3),(AE13-($AH$6*3))*$AH$8,0)*$AH$9</f>
        <v>782.61248884999986</v>
      </c>
      <c r="AI13" s="62">
        <f>+(AE13*$AI$9)*$AI$8</f>
        <v>2202.8606305619378</v>
      </c>
      <c r="AJ13" s="62">
        <f t="shared" si="5"/>
        <v>9976.0303748994374</v>
      </c>
      <c r="AK13" s="62">
        <f t="shared" si="6"/>
        <v>782.61248884999986</v>
      </c>
      <c r="AL13" s="62">
        <f t="shared" si="7"/>
        <v>10758.642863749437</v>
      </c>
      <c r="AN13" s="27">
        <f>+AT13*C13</f>
        <v>21713.983070039998</v>
      </c>
      <c r="AP13" s="66">
        <f t="shared" si="8"/>
        <v>35774.503533961186</v>
      </c>
      <c r="AQ13" s="55">
        <f t="shared" si="0"/>
        <v>2979.5750888559451</v>
      </c>
      <c r="AR13" s="16">
        <f t="shared" si="1"/>
        <v>24989.573976355943</v>
      </c>
      <c r="AS13" s="55">
        <f t="shared" si="9"/>
        <v>4319.7932392389184</v>
      </c>
      <c r="AT13" s="55">
        <f t="shared" si="10"/>
        <v>3618.9971783399997</v>
      </c>
      <c r="AU13" s="55">
        <f t="shared" si="2"/>
        <v>700.79606089891877</v>
      </c>
      <c r="AV13" s="16">
        <f t="shared" si="3"/>
        <v>27969.149065211888</v>
      </c>
      <c r="AW13" s="56">
        <f t="shared" si="4"/>
        <v>0.23520000000000016</v>
      </c>
      <c r="AX13" s="62">
        <f t="shared" si="11"/>
        <v>8414.1632311876765</v>
      </c>
      <c r="AY13" s="62">
        <f t="shared" si="12"/>
        <v>50484.979387126063</v>
      </c>
      <c r="AZ13" s="16"/>
      <c r="BA13" s="16">
        <f>+AP13+AR13</f>
        <v>60764.077510317133</v>
      </c>
      <c r="BB13" s="55">
        <f>((BA13-VLOOKUP(BA13,$BO$17:$BR$39,1))*VLOOKUP(BA13,$BO$17:$BR$39,4)+VLOOKUP(BA13,$BO$17:$BR$39,3))-VLOOKUP(BA13,$BT$17:$BV$39,3)</f>
        <v>14550.121253095138</v>
      </c>
      <c r="BC13" s="55">
        <f>+AT13</f>
        <v>3618.9971783399997</v>
      </c>
      <c r="BD13" s="55">
        <f t="shared" si="13"/>
        <v>10931.124074755138</v>
      </c>
      <c r="BE13" s="55">
        <f>+BD13*C13</f>
        <v>65586.744448530837</v>
      </c>
      <c r="BF13" s="56"/>
      <c r="BG13" s="62">
        <f t="shared" si="14"/>
        <v>264119.98664999998</v>
      </c>
      <c r="BH13" s="62">
        <f>+AP13</f>
        <v>35774.503533961186</v>
      </c>
      <c r="BI13" s="62">
        <f>+BG13+BH13</f>
        <v>299894.49018396117</v>
      </c>
      <c r="BJ13" s="55">
        <f>((BI13-VLOOKUP(BI13,$BO$45:$BR$61,1))*VLOOKUP(BI13,$BO$45:$BR$61,4)+VLOOKUP(BI13,$BO$45:$BR$61,3))</f>
        <v>51842.155243267662</v>
      </c>
      <c r="BK13" s="55">
        <f>+AT13*12</f>
        <v>43427.966140079996</v>
      </c>
      <c r="BL13" s="55">
        <f t="shared" si="15"/>
        <v>8414.1891031876658</v>
      </c>
      <c r="BM13" s="55">
        <f t="shared" si="16"/>
        <v>50485.134619125995</v>
      </c>
      <c r="BN13" s="67"/>
      <c r="BO13" s="62"/>
      <c r="BP13" s="62"/>
      <c r="BQ13" s="62"/>
      <c r="BR13" s="62"/>
      <c r="BT13" s="73"/>
      <c r="BU13" s="74"/>
      <c r="BV13" s="74"/>
    </row>
    <row r="14" spans="2:74" ht="13.5" customHeight="1" thickTop="1" x14ac:dyDescent="0.2">
      <c r="B14" s="75" t="s">
        <v>91</v>
      </c>
      <c r="C14" s="76">
        <v>18</v>
      </c>
      <c r="D14" s="77">
        <v>192487</v>
      </c>
      <c r="E14" s="76"/>
      <c r="F14" s="77"/>
      <c r="G14" s="77">
        <v>192487</v>
      </c>
      <c r="H14" s="77">
        <v>1154922</v>
      </c>
      <c r="I14" s="77">
        <v>13859064</v>
      </c>
      <c r="J14" s="77"/>
      <c r="K14" s="77"/>
      <c r="L14" s="77">
        <v>199976.16214092466</v>
      </c>
      <c r="M14" s="77">
        <v>1999761.6214092467</v>
      </c>
      <c r="N14" s="77"/>
      <c r="O14" s="77">
        <v>156278.43</v>
      </c>
      <c r="P14" s="77">
        <v>629767.06108076929</v>
      </c>
      <c r="Q14" s="77">
        <v>275466.09577499662</v>
      </c>
      <c r="R14" s="77">
        <v>415771.92000000004</v>
      </c>
      <c r="S14" s="77">
        <v>2425336.1999999997</v>
      </c>
      <c r="T14" s="77">
        <v>157300.56</v>
      </c>
      <c r="U14" s="77">
        <v>2650.3941937499999</v>
      </c>
      <c r="V14" s="77">
        <v>190828.38194999998</v>
      </c>
      <c r="W14" s="77">
        <v>2650.3941937499999</v>
      </c>
      <c r="X14" s="77">
        <v>190828.38194999998</v>
      </c>
      <c r="Y14" s="77">
        <v>0</v>
      </c>
      <c r="Z14" s="77">
        <v>157857</v>
      </c>
      <c r="AA14" s="42"/>
      <c r="AB14" s="42"/>
      <c r="AC14" s="61"/>
      <c r="AD14" s="62"/>
      <c r="AG14" s="62"/>
      <c r="AH14" s="62"/>
      <c r="AI14" s="62"/>
      <c r="AJ14" s="62"/>
      <c r="AK14" s="62"/>
      <c r="AL14" s="62"/>
      <c r="AN14" s="27"/>
      <c r="AP14" s="78"/>
      <c r="AQ14" s="78"/>
      <c r="AR14" s="79"/>
      <c r="AS14" s="79"/>
      <c r="AT14" s="78"/>
      <c r="AU14" s="78"/>
      <c r="AV14" s="78"/>
      <c r="AW14" s="80"/>
      <c r="AX14" s="81"/>
      <c r="AY14" s="81"/>
      <c r="AZ14" s="16"/>
      <c r="BA14" s="16"/>
      <c r="BB14" s="55"/>
      <c r="BC14" s="55"/>
      <c r="BD14" s="55"/>
      <c r="BE14" s="55"/>
      <c r="BF14" s="56"/>
      <c r="BG14" s="62"/>
      <c r="BH14" s="62"/>
      <c r="BI14" s="62"/>
      <c r="BJ14" s="55"/>
      <c r="BK14" s="55"/>
      <c r="BL14" s="55"/>
      <c r="BM14" s="55"/>
      <c r="BN14" s="67"/>
      <c r="BO14" s="82" t="s">
        <v>92</v>
      </c>
      <c r="BP14" s="82" t="s">
        <v>93</v>
      </c>
      <c r="BQ14" s="82" t="s">
        <v>94</v>
      </c>
      <c r="BR14" s="82" t="s">
        <v>95</v>
      </c>
      <c r="BT14" s="155" t="s">
        <v>96</v>
      </c>
      <c r="BU14" s="155"/>
      <c r="BV14" s="155"/>
    </row>
    <row r="15" spans="2:74" ht="13.5" customHeight="1" x14ac:dyDescent="0.2">
      <c r="B15" s="83" t="s">
        <v>97</v>
      </c>
      <c r="C15" s="84"/>
      <c r="D15" s="85"/>
      <c r="E15" s="84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3"/>
      <c r="AB15" s="42"/>
      <c r="AC15" s="61"/>
      <c r="AD15" s="62"/>
      <c r="AE15" s="55"/>
      <c r="AF15" s="62"/>
      <c r="AG15" s="62"/>
      <c r="AH15" s="62"/>
      <c r="AI15" s="62"/>
      <c r="AJ15" s="62"/>
      <c r="AK15" s="62"/>
      <c r="AL15" s="62"/>
      <c r="AN15" s="27"/>
      <c r="AP15" s="78"/>
      <c r="AQ15" s="78"/>
      <c r="AR15" s="79"/>
      <c r="AS15" s="79"/>
      <c r="AT15" s="78"/>
      <c r="AU15" s="78"/>
      <c r="AV15" s="78"/>
      <c r="AW15" s="86"/>
      <c r="AX15" s="81"/>
      <c r="AY15" s="81"/>
      <c r="AZ15" s="16"/>
      <c r="BA15" s="16"/>
      <c r="BB15" s="55"/>
      <c r="BC15" s="55"/>
      <c r="BD15" s="55"/>
      <c r="BE15" s="55"/>
      <c r="BF15" s="56"/>
      <c r="BG15" s="62"/>
      <c r="BH15" s="62"/>
      <c r="BI15" s="62"/>
      <c r="BJ15" s="55"/>
      <c r="BK15" s="55"/>
      <c r="BN15" s="67"/>
      <c r="BO15" s="87"/>
      <c r="BP15" s="87"/>
      <c r="BQ15" s="87"/>
      <c r="BR15" s="87" t="s">
        <v>98</v>
      </c>
      <c r="BT15" s="87" t="s">
        <v>99</v>
      </c>
      <c r="BU15" s="87" t="s">
        <v>100</v>
      </c>
      <c r="BV15" s="87" t="s">
        <v>101</v>
      </c>
    </row>
    <row r="16" spans="2:74" ht="13.5" thickBot="1" x14ac:dyDescent="0.25">
      <c r="B16" s="63" t="s">
        <v>102</v>
      </c>
      <c r="C16" s="64">
        <v>1</v>
      </c>
      <c r="D16" s="65">
        <v>151750</v>
      </c>
      <c r="E16" s="64"/>
      <c r="F16" s="65"/>
      <c r="G16" s="65">
        <v>151750</v>
      </c>
      <c r="H16" s="65">
        <v>151750</v>
      </c>
      <c r="I16" s="65">
        <v>1821000</v>
      </c>
      <c r="J16" s="65">
        <v>22281.057534246578</v>
      </c>
      <c r="K16" s="65">
        <v>3212.9424657534246</v>
      </c>
      <c r="L16" s="65">
        <v>25494.000000000004</v>
      </c>
      <c r="M16" s="65">
        <v>254940.00000000003</v>
      </c>
      <c r="N16" s="65"/>
      <c r="O16" s="65"/>
      <c r="P16" s="65">
        <v>85909.639399999985</v>
      </c>
      <c r="Q16" s="65">
        <v>20165.973968749997</v>
      </c>
      <c r="R16" s="65">
        <v>54630</v>
      </c>
      <c r="S16" s="65">
        <v>318675</v>
      </c>
      <c r="T16" s="65">
        <v>13588.199999999999</v>
      </c>
      <c r="U16" s="65">
        <v>607</v>
      </c>
      <c r="V16" s="65">
        <v>7284</v>
      </c>
      <c r="W16" s="65">
        <v>607</v>
      </c>
      <c r="X16" s="65">
        <v>7284</v>
      </c>
      <c r="Y16" s="65">
        <v>0</v>
      </c>
      <c r="Z16" s="65">
        <v>0</v>
      </c>
      <c r="AA16" s="3"/>
      <c r="AB16" s="42">
        <f t="shared" ref="AB16:AB28" si="17">+G16/30</f>
        <v>5058.333333333333</v>
      </c>
      <c r="AC16" s="60">
        <f t="shared" ref="AC16:AC28" si="18">IF(((U16/30)&lt;$AH$4),0,((U16/30)-$AH$4))</f>
        <v>0</v>
      </c>
      <c r="AD16" s="61">
        <f t="shared" ref="AD16:AD28" si="19">+AB16+AC16</f>
        <v>5058.333333333333</v>
      </c>
      <c r="AE16" s="61">
        <f t="shared" ref="AE16:AE28" si="20">IF((AD16*$AH$3)&gt;$AI$6,$AI$6,(AD16*$AH$3))</f>
        <v>1887.2499999999998</v>
      </c>
      <c r="AF16" s="62">
        <f t="shared" ref="AF16:AF28" si="21">+$AL$1*$AL$2*$AF$9</f>
        <v>5620.9853999999996</v>
      </c>
      <c r="AG16" s="62">
        <f t="shared" ref="AG16:AG28" si="22">+IF(AE16&gt;($AH$6*3),(AE16-($AH$6*3))*$AG$8,0)*$AG$9</f>
        <v>6668.0316999999986</v>
      </c>
      <c r="AH16" s="62">
        <f t="shared" ref="AH16:AH28" si="23">+IF(AE16&gt;($AH$6*3),(AE16-($AH$6*3))*$AH$8,0)*$AH$9</f>
        <v>2424.7387999999996</v>
      </c>
      <c r="AI16" s="62">
        <f t="shared" ref="AI16:AI28" si="24">+(AE16*$AI$9)*$AI$8</f>
        <v>5452.2180687499995</v>
      </c>
      <c r="AJ16" s="62">
        <f t="shared" si="5"/>
        <v>17741.235168749998</v>
      </c>
      <c r="AK16" s="62">
        <f t="shared" si="6"/>
        <v>2424.7387999999996</v>
      </c>
      <c r="AL16" s="62">
        <f t="shared" si="7"/>
        <v>20165.973968749997</v>
      </c>
      <c r="AN16" s="27">
        <f t="shared" ref="AN16:AN28" si="25">+AT16*C16</f>
        <v>45411.994400000003</v>
      </c>
      <c r="AP16" s="66">
        <f t="shared" ref="AP16:AP28" si="26">+((M16/C16)-($AL$2*30))</f>
        <v>252675.30000000002</v>
      </c>
      <c r="AQ16" s="55">
        <f t="shared" ref="AQ16:AQ28" si="27">+AP16/365*30.4</f>
        <v>21044.737315068491</v>
      </c>
      <c r="AR16" s="16">
        <f>+G16+U16+W16+AQ16</f>
        <v>174008.73731506849</v>
      </c>
      <c r="AS16" s="55">
        <f>((AR16-VLOOKUP(AR16,$BO$17:$BR$39,1))*VLOOKUP(AR16,$BO$17:$BR$39,4)+VLOOKUP(AR16,$BO$17:$BR$39,3))-VLOOKUP(AR16,$BT$17:$BV$39,3)</f>
        <v>52567.205087123293</v>
      </c>
      <c r="AT16" s="55">
        <f>(((G16+U16+W16)-VLOOKUP((G16+U16+W16),$BO$17:$BR$39,1))*VLOOKUP((G16+U16+W16),$BO$17:$BR$39,4)+VLOOKUP((G16+U16+W16),$BO$17:$BR$39,3))-VLOOKUP((G16+U16+W16),$BT$17:$BV$39,3)</f>
        <v>45411.994400000003</v>
      </c>
      <c r="AU16" s="55">
        <f>+AS16-AT16</f>
        <v>7155.21068712329</v>
      </c>
      <c r="AV16" s="16">
        <f>+AR16+AQ16</f>
        <v>195053.47463013697</v>
      </c>
      <c r="AW16" s="56">
        <f>+(AU16/AQ16)</f>
        <v>0.34000000000000014</v>
      </c>
      <c r="AX16" s="62">
        <f>+AP16*AW16</f>
        <v>85909.602000000043</v>
      </c>
      <c r="AY16" s="62">
        <f>+AX16*C16</f>
        <v>85909.602000000043</v>
      </c>
      <c r="AZ16" s="16"/>
      <c r="BA16" s="16">
        <f>+AP16++G16+U16+W16</f>
        <v>405639.30000000005</v>
      </c>
      <c r="BB16" s="55">
        <f t="shared" ref="BB16:BB28" si="28">((BA16-VLOOKUP(BA16,$BO$17:$BR$39,1))*VLOOKUP(BA16,$BO$17:$BR$39,4)+VLOOKUP(BA16,$BO$17:$BR$39,3))-VLOOKUP(BA16,$BT$17:$BV$39,3)</f>
        <v>132877.98149999999</v>
      </c>
      <c r="BC16" s="55">
        <f t="shared" ref="BC16:BC28" si="29">+AT16</f>
        <v>45411.994400000003</v>
      </c>
      <c r="BD16" s="55">
        <f>+BB16-BC16</f>
        <v>87465.987099999998</v>
      </c>
      <c r="BE16" s="55">
        <f t="shared" ref="BE16:BE62" si="30">+BD16*C16</f>
        <v>87465.987099999998</v>
      </c>
      <c r="BF16" s="56"/>
      <c r="BG16" s="62">
        <f>+(G16+U16+W16)*12</f>
        <v>1835568</v>
      </c>
      <c r="BH16" s="62">
        <f t="shared" ref="BH16:BH28" si="31">+AP16</f>
        <v>252675.30000000002</v>
      </c>
      <c r="BI16" s="62">
        <f>+BG16+BH16</f>
        <v>2088243.3</v>
      </c>
      <c r="BJ16" s="55">
        <f t="shared" ref="BJ16:BJ28" si="32">((BI16-VLOOKUP(BI16,$BO$45:$BR$61,1))*VLOOKUP(BI16,$BO$45:$BR$61,4)+VLOOKUP(BI16,$BO$45:$BR$61,3))</f>
        <v>630853.57220000005</v>
      </c>
      <c r="BK16" s="55">
        <f t="shared" ref="BK16:BK28" si="33">+AT16*12</f>
        <v>544943.93280000007</v>
      </c>
      <c r="BL16" s="55">
        <f t="shared" ref="BL16:BL28" si="34">+BJ16-BK16</f>
        <v>85909.639399999985</v>
      </c>
      <c r="BM16" s="55">
        <f t="shared" ref="BM16:BM28" si="35">+BL16*C16</f>
        <v>85909.639399999985</v>
      </c>
      <c r="BN16" s="67"/>
      <c r="BO16" s="88" t="s">
        <v>103</v>
      </c>
      <c r="BP16" s="88" t="s">
        <v>103</v>
      </c>
      <c r="BQ16" s="88" t="s">
        <v>103</v>
      </c>
      <c r="BR16" s="88" t="s">
        <v>104</v>
      </c>
      <c r="BT16" s="88" t="s">
        <v>103</v>
      </c>
      <c r="BU16" s="88" t="s">
        <v>103</v>
      </c>
      <c r="BV16" s="88" t="s">
        <v>103</v>
      </c>
    </row>
    <row r="17" spans="2:74" ht="13.5" thickTop="1" x14ac:dyDescent="0.2">
      <c r="B17" s="63" t="s">
        <v>105</v>
      </c>
      <c r="C17" s="64">
        <v>1</v>
      </c>
      <c r="D17" s="65">
        <v>80000</v>
      </c>
      <c r="E17" s="64"/>
      <c r="F17" s="65">
        <v>26400</v>
      </c>
      <c r="G17" s="65">
        <v>80000</v>
      </c>
      <c r="H17" s="65">
        <v>80000</v>
      </c>
      <c r="I17" s="65">
        <v>960000</v>
      </c>
      <c r="J17" s="65">
        <v>11792.366666666667</v>
      </c>
      <c r="K17" s="65">
        <v>2254.9872146118719</v>
      </c>
      <c r="L17" s="65">
        <v>14047.353881278539</v>
      </c>
      <c r="M17" s="65">
        <v>140473.53881278538</v>
      </c>
      <c r="N17" s="65">
        <v>39600</v>
      </c>
      <c r="O17" s="65">
        <v>39600</v>
      </c>
      <c r="P17" s="65">
        <v>46420.773796347057</v>
      </c>
      <c r="Q17" s="65">
        <v>20165.973968749997</v>
      </c>
      <c r="R17" s="65">
        <v>28800</v>
      </c>
      <c r="S17" s="65">
        <v>168000</v>
      </c>
      <c r="T17" s="65">
        <v>13588.199999999999</v>
      </c>
      <c r="U17" s="65">
        <v>478.50000000000006</v>
      </c>
      <c r="V17" s="65">
        <v>5742.0000000000009</v>
      </c>
      <c r="W17" s="65">
        <v>478.50000000000006</v>
      </c>
      <c r="X17" s="65">
        <v>5742.0000000000009</v>
      </c>
      <c r="Y17" s="65">
        <v>0</v>
      </c>
      <c r="Z17" s="65">
        <v>0</v>
      </c>
      <c r="AA17" s="3"/>
      <c r="AB17" s="42">
        <f t="shared" si="17"/>
        <v>2666.6666666666665</v>
      </c>
      <c r="AC17" s="60">
        <f t="shared" si="18"/>
        <v>0</v>
      </c>
      <c r="AD17" s="61">
        <f t="shared" si="19"/>
        <v>2666.6666666666665</v>
      </c>
      <c r="AE17" s="61">
        <f t="shared" si="20"/>
        <v>1887.2499999999998</v>
      </c>
      <c r="AF17" s="62">
        <f t="shared" si="21"/>
        <v>5620.9853999999996</v>
      </c>
      <c r="AG17" s="62">
        <f t="shared" si="22"/>
        <v>6668.0316999999986</v>
      </c>
      <c r="AH17" s="62">
        <f t="shared" si="23"/>
        <v>2424.7387999999996</v>
      </c>
      <c r="AI17" s="62">
        <f t="shared" si="24"/>
        <v>5452.2180687499995</v>
      </c>
      <c r="AJ17" s="62">
        <f t="shared" si="5"/>
        <v>17741.235168749998</v>
      </c>
      <c r="AK17" s="62">
        <f t="shared" si="6"/>
        <v>2424.7387999999996</v>
      </c>
      <c r="AL17" s="62">
        <f t="shared" si="7"/>
        <v>20165.973968749997</v>
      </c>
      <c r="AN17" s="27">
        <f t="shared" si="25"/>
        <v>20977.1368</v>
      </c>
      <c r="AP17" s="66">
        <f t="shared" si="26"/>
        <v>138208.83881278537</v>
      </c>
      <c r="AQ17" s="55">
        <f t="shared" si="27"/>
        <v>11511.092328516917</v>
      </c>
      <c r="AR17" s="16">
        <f t="shared" ref="AR17:AR28" si="36">+G17+U17+W17+AQ17</f>
        <v>92468.092328516912</v>
      </c>
      <c r="AS17" s="55">
        <f t="shared" ref="AS17:AS28" si="37">((AR17-VLOOKUP(AR17,$BO$17:$BR$39,1))*VLOOKUP(AR17,$BO$17:$BR$39,4)+VLOOKUP(AR17,$BO$17:$BR$39,3))-VLOOKUP(AR17,$BT$17:$BV$39,3)</f>
        <v>24843.38579169575</v>
      </c>
      <c r="AT17" s="55">
        <f t="shared" ref="AT17:AT28" si="38">(((G17+U17+W17)-VLOOKUP((G17+U17+W17),$BO$17:$BR$39,1))*VLOOKUP((G17+U17+W17),$BO$17:$BR$39,4)+VLOOKUP((G17+U17+W17),$BO$17:$BR$39,3))-VLOOKUP((G17+U17+W17),$BT$17:$BV$39,3)</f>
        <v>20977.1368</v>
      </c>
      <c r="AU17" s="55">
        <f t="shared" ref="AU17:AU28" si="39">+AS17-AT17</f>
        <v>3866.2489916957493</v>
      </c>
      <c r="AV17" s="16">
        <f t="shared" ref="AV17:AV28" si="40">+AR17+AQ17</f>
        <v>103979.18465703382</v>
      </c>
      <c r="AW17" s="56">
        <f t="shared" ref="AW17:AW28" si="41">+(AU17/AQ17)</f>
        <v>0.33587159944132555</v>
      </c>
      <c r="AX17" s="62">
        <f t="shared" ref="AX17:AX28" si="42">+AP17*AW17</f>
        <v>46420.423748978574</v>
      </c>
      <c r="AY17" s="62">
        <f t="shared" ref="AY17:AY28" si="43">+AX17*C17</f>
        <v>46420.423748978574</v>
      </c>
      <c r="AZ17" s="16"/>
      <c r="BA17" s="16">
        <f t="shared" ref="BA17:BA28" si="44">+AP17+AR17</f>
        <v>230676.93114130228</v>
      </c>
      <c r="BB17" s="55">
        <f t="shared" si="28"/>
        <v>71834.390988042782</v>
      </c>
      <c r="BC17" s="55">
        <f t="shared" si="29"/>
        <v>20977.1368</v>
      </c>
      <c r="BD17" s="55">
        <f t="shared" si="13"/>
        <v>50857.254188042782</v>
      </c>
      <c r="BE17" s="55">
        <f t="shared" si="30"/>
        <v>50857.254188042782</v>
      </c>
      <c r="BF17" s="56"/>
      <c r="BG17" s="62">
        <f t="shared" ref="BG17:BG28" si="45">+(G17+U17+W17)*12</f>
        <v>971484</v>
      </c>
      <c r="BH17" s="62">
        <f t="shared" si="31"/>
        <v>138208.83881278537</v>
      </c>
      <c r="BI17" s="62">
        <f t="shared" ref="BI17:BI81" si="46">+BG17+BH17</f>
        <v>1109692.8388127855</v>
      </c>
      <c r="BJ17" s="55">
        <f t="shared" si="32"/>
        <v>298146.41539634706</v>
      </c>
      <c r="BK17" s="55">
        <f t="shared" si="33"/>
        <v>251725.6416</v>
      </c>
      <c r="BL17" s="55">
        <f t="shared" si="34"/>
        <v>46420.773796347057</v>
      </c>
      <c r="BM17" s="55">
        <f t="shared" si="35"/>
        <v>46420.773796347057</v>
      </c>
      <c r="BN17" s="67"/>
      <c r="BO17" s="89">
        <v>0.01</v>
      </c>
      <c r="BP17" s="89">
        <v>496.07</v>
      </c>
      <c r="BQ17" s="89">
        <v>0</v>
      </c>
      <c r="BR17" s="90">
        <v>1.9199999999999998E-2</v>
      </c>
      <c r="BT17" s="89">
        <v>0.01</v>
      </c>
      <c r="BU17" s="89">
        <v>1768.96</v>
      </c>
      <c r="BV17" s="89">
        <v>407.02</v>
      </c>
    </row>
    <row r="18" spans="2:74" x14ac:dyDescent="0.2">
      <c r="B18" s="63" t="s">
        <v>106</v>
      </c>
      <c r="C18" s="64">
        <v>1</v>
      </c>
      <c r="D18" s="65">
        <v>80000</v>
      </c>
      <c r="E18" s="64"/>
      <c r="F18" s="65">
        <v>26400</v>
      </c>
      <c r="G18" s="65">
        <v>80000</v>
      </c>
      <c r="H18" s="65">
        <v>80000</v>
      </c>
      <c r="I18" s="65">
        <v>960000</v>
      </c>
      <c r="J18" s="65">
        <v>11792.366666666667</v>
      </c>
      <c r="K18" s="65">
        <v>2254.9872146118719</v>
      </c>
      <c r="L18" s="65">
        <v>14047.353881278539</v>
      </c>
      <c r="M18" s="65">
        <v>140473.53881278538</v>
      </c>
      <c r="N18" s="65">
        <v>39600</v>
      </c>
      <c r="O18" s="65">
        <v>39600</v>
      </c>
      <c r="P18" s="65">
        <v>46420.773796347057</v>
      </c>
      <c r="Q18" s="65">
        <v>20165.973968749997</v>
      </c>
      <c r="R18" s="65">
        <v>28800</v>
      </c>
      <c r="S18" s="65">
        <v>168000</v>
      </c>
      <c r="T18" s="65">
        <v>13588.199999999999</v>
      </c>
      <c r="U18" s="65">
        <v>478.50000000000006</v>
      </c>
      <c r="V18" s="65">
        <v>5742.0000000000009</v>
      </c>
      <c r="W18" s="65">
        <v>478.50000000000006</v>
      </c>
      <c r="X18" s="65">
        <v>5742.0000000000009</v>
      </c>
      <c r="Y18" s="65">
        <v>0</v>
      </c>
      <c r="Z18" s="65">
        <v>0</v>
      </c>
      <c r="AA18" s="3"/>
      <c r="AB18" s="42">
        <f t="shared" si="17"/>
        <v>2666.6666666666665</v>
      </c>
      <c r="AC18" s="60">
        <f t="shared" si="18"/>
        <v>0</v>
      </c>
      <c r="AD18" s="61">
        <f t="shared" si="19"/>
        <v>2666.6666666666665</v>
      </c>
      <c r="AE18" s="61">
        <f t="shared" si="20"/>
        <v>1887.2499999999998</v>
      </c>
      <c r="AF18" s="62">
        <f t="shared" si="21"/>
        <v>5620.9853999999996</v>
      </c>
      <c r="AG18" s="62">
        <f t="shared" si="22"/>
        <v>6668.0316999999986</v>
      </c>
      <c r="AH18" s="62">
        <f t="shared" si="23"/>
        <v>2424.7387999999996</v>
      </c>
      <c r="AI18" s="62">
        <f t="shared" si="24"/>
        <v>5452.2180687499995</v>
      </c>
      <c r="AJ18" s="62">
        <f t="shared" si="5"/>
        <v>17741.235168749998</v>
      </c>
      <c r="AK18" s="62">
        <f t="shared" si="6"/>
        <v>2424.7387999999996</v>
      </c>
      <c r="AL18" s="62">
        <f t="shared" si="7"/>
        <v>20165.973968749997</v>
      </c>
      <c r="AN18" s="27">
        <f t="shared" si="25"/>
        <v>20977.1368</v>
      </c>
      <c r="AP18" s="66">
        <f t="shared" si="26"/>
        <v>138208.83881278537</v>
      </c>
      <c r="AQ18" s="55">
        <f t="shared" si="27"/>
        <v>11511.092328516917</v>
      </c>
      <c r="AR18" s="16">
        <f t="shared" si="36"/>
        <v>92468.092328516912</v>
      </c>
      <c r="AS18" s="55">
        <f t="shared" si="37"/>
        <v>24843.38579169575</v>
      </c>
      <c r="AT18" s="55">
        <f t="shared" si="38"/>
        <v>20977.1368</v>
      </c>
      <c r="AU18" s="55">
        <f t="shared" si="39"/>
        <v>3866.2489916957493</v>
      </c>
      <c r="AV18" s="16">
        <f t="shared" si="40"/>
        <v>103979.18465703382</v>
      </c>
      <c r="AW18" s="56">
        <f t="shared" si="41"/>
        <v>0.33587159944132555</v>
      </c>
      <c r="AX18" s="62">
        <f t="shared" si="42"/>
        <v>46420.423748978574</v>
      </c>
      <c r="AY18" s="62">
        <f t="shared" si="43"/>
        <v>46420.423748978574</v>
      </c>
      <c r="AZ18" s="16"/>
      <c r="BA18" s="16">
        <f t="shared" si="44"/>
        <v>230676.93114130228</v>
      </c>
      <c r="BB18" s="55">
        <f t="shared" si="28"/>
        <v>71834.390988042782</v>
      </c>
      <c r="BC18" s="55">
        <f t="shared" si="29"/>
        <v>20977.1368</v>
      </c>
      <c r="BD18" s="55">
        <f t="shared" si="13"/>
        <v>50857.254188042782</v>
      </c>
      <c r="BE18" s="55">
        <f t="shared" si="30"/>
        <v>50857.254188042782</v>
      </c>
      <c r="BF18" s="56"/>
      <c r="BG18" s="62">
        <f t="shared" si="45"/>
        <v>971484</v>
      </c>
      <c r="BH18" s="62">
        <f t="shared" si="31"/>
        <v>138208.83881278537</v>
      </c>
      <c r="BI18" s="62">
        <f t="shared" si="46"/>
        <v>1109692.8388127855</v>
      </c>
      <c r="BJ18" s="55">
        <f t="shared" si="32"/>
        <v>298146.41539634706</v>
      </c>
      <c r="BK18" s="55">
        <f t="shared" si="33"/>
        <v>251725.6416</v>
      </c>
      <c r="BL18" s="55">
        <f t="shared" si="34"/>
        <v>46420.773796347057</v>
      </c>
      <c r="BM18" s="55">
        <f t="shared" si="35"/>
        <v>46420.773796347057</v>
      </c>
      <c r="BN18" s="67"/>
      <c r="BO18" s="89">
        <v>496.08</v>
      </c>
      <c r="BP18" s="89">
        <v>4210.41</v>
      </c>
      <c r="BQ18" s="89">
        <v>9.52</v>
      </c>
      <c r="BR18" s="90">
        <v>6.4000000000000001E-2</v>
      </c>
      <c r="BT18" s="89">
        <v>1768.97</v>
      </c>
      <c r="BU18" s="89">
        <v>2653.38</v>
      </c>
      <c r="BV18" s="89">
        <v>406.83</v>
      </c>
    </row>
    <row r="19" spans="2:74" x14ac:dyDescent="0.2">
      <c r="B19" s="63" t="s">
        <v>107</v>
      </c>
      <c r="C19" s="64">
        <v>2</v>
      </c>
      <c r="D19" s="65">
        <v>72728</v>
      </c>
      <c r="E19" s="64"/>
      <c r="F19" s="65">
        <v>24000.240000000002</v>
      </c>
      <c r="G19" s="65">
        <v>72728</v>
      </c>
      <c r="H19" s="65">
        <v>145456</v>
      </c>
      <c r="I19" s="65">
        <v>1745472</v>
      </c>
      <c r="J19" s="65">
        <v>10743.566769406392</v>
      </c>
      <c r="K19" s="65">
        <v>2053.3436940639267</v>
      </c>
      <c r="L19" s="65">
        <v>25593.820926940636</v>
      </c>
      <c r="M19" s="65">
        <v>255938.20926940636</v>
      </c>
      <c r="N19" s="65">
        <v>36000.36</v>
      </c>
      <c r="O19" s="65">
        <v>72000.72</v>
      </c>
      <c r="P19" s="65">
        <v>80882.424351598136</v>
      </c>
      <c r="Q19" s="65">
        <v>40331.947937499994</v>
      </c>
      <c r="R19" s="65">
        <v>52364.160000000003</v>
      </c>
      <c r="S19" s="65">
        <v>305457.59999999998</v>
      </c>
      <c r="T19" s="65">
        <v>27176.399999999998</v>
      </c>
      <c r="U19" s="65">
        <v>514.38750000000005</v>
      </c>
      <c r="V19" s="65">
        <v>12345.300000000001</v>
      </c>
      <c r="W19" s="65">
        <v>514.38750000000005</v>
      </c>
      <c r="X19" s="65">
        <v>12345.300000000001</v>
      </c>
      <c r="Y19" s="65">
        <v>0</v>
      </c>
      <c r="Z19" s="65">
        <v>0</v>
      </c>
      <c r="AA19" s="3"/>
      <c r="AB19" s="42">
        <f t="shared" si="17"/>
        <v>2424.2666666666669</v>
      </c>
      <c r="AC19" s="60">
        <f t="shared" si="18"/>
        <v>0</v>
      </c>
      <c r="AD19" s="61">
        <f t="shared" si="19"/>
        <v>2424.2666666666669</v>
      </c>
      <c r="AE19" s="61">
        <f t="shared" si="20"/>
        <v>1887.2499999999998</v>
      </c>
      <c r="AF19" s="62">
        <f t="shared" si="21"/>
        <v>5620.9853999999996</v>
      </c>
      <c r="AG19" s="62">
        <f t="shared" si="22"/>
        <v>6668.0316999999986</v>
      </c>
      <c r="AH19" s="62">
        <f t="shared" si="23"/>
        <v>2424.7387999999996</v>
      </c>
      <c r="AI19" s="62">
        <f t="shared" si="24"/>
        <v>5452.2180687499995</v>
      </c>
      <c r="AJ19" s="62">
        <f t="shared" si="5"/>
        <v>17741.235168749998</v>
      </c>
      <c r="AK19" s="62">
        <f t="shared" si="6"/>
        <v>2424.7387999999996</v>
      </c>
      <c r="AL19" s="62">
        <f t="shared" si="7"/>
        <v>20165.973968749997</v>
      </c>
      <c r="AN19" s="27">
        <f t="shared" si="25"/>
        <v>37346.129599999993</v>
      </c>
      <c r="AP19" s="66">
        <f t="shared" si="26"/>
        <v>125704.40463470318</v>
      </c>
      <c r="AQ19" s="55">
        <f t="shared" si="27"/>
        <v>10469.627125739662</v>
      </c>
      <c r="AR19" s="16">
        <f t="shared" si="36"/>
        <v>84226.402125739653</v>
      </c>
      <c r="AS19" s="55">
        <f t="shared" si="37"/>
        <v>22041.211122751483</v>
      </c>
      <c r="AT19" s="55">
        <f t="shared" si="38"/>
        <v>18673.064799999996</v>
      </c>
      <c r="AU19" s="55">
        <f t="shared" si="39"/>
        <v>3368.1463227514869</v>
      </c>
      <c r="AV19" s="16">
        <f t="shared" si="40"/>
        <v>94696.029251479311</v>
      </c>
      <c r="AW19" s="56">
        <f t="shared" si="41"/>
        <v>0.3217064258640952</v>
      </c>
      <c r="AX19" s="62">
        <f t="shared" si="42"/>
        <v>40439.914730404365</v>
      </c>
      <c r="AY19" s="62">
        <f t="shared" si="43"/>
        <v>80879.829460808731</v>
      </c>
      <c r="AZ19" s="16"/>
      <c r="BA19" s="16">
        <f t="shared" si="44"/>
        <v>209930.80676044285</v>
      </c>
      <c r="BB19" s="55">
        <f t="shared" si="28"/>
        <v>64780.708698550574</v>
      </c>
      <c r="BC19" s="55">
        <f t="shared" si="29"/>
        <v>18673.064799999996</v>
      </c>
      <c r="BD19" s="55">
        <f t="shared" si="13"/>
        <v>46107.643898550581</v>
      </c>
      <c r="BE19" s="55">
        <f t="shared" si="30"/>
        <v>92215.287797101162</v>
      </c>
      <c r="BF19" s="56"/>
      <c r="BG19" s="62">
        <f t="shared" si="45"/>
        <v>885081.29999999993</v>
      </c>
      <c r="BH19" s="62">
        <f t="shared" si="31"/>
        <v>125704.40463470318</v>
      </c>
      <c r="BI19" s="62">
        <f t="shared" si="46"/>
        <v>1010785.7046347031</v>
      </c>
      <c r="BJ19" s="55">
        <f t="shared" si="32"/>
        <v>264517.98977579904</v>
      </c>
      <c r="BK19" s="55">
        <f t="shared" si="33"/>
        <v>224076.77759999997</v>
      </c>
      <c r="BL19" s="55">
        <f t="shared" si="34"/>
        <v>40441.212175799068</v>
      </c>
      <c r="BM19" s="55">
        <f t="shared" si="35"/>
        <v>80882.424351598136</v>
      </c>
      <c r="BN19" s="67"/>
      <c r="BO19" s="89">
        <v>4210.42</v>
      </c>
      <c r="BP19" s="89">
        <v>7399.42</v>
      </c>
      <c r="BQ19" s="89">
        <v>247.24</v>
      </c>
      <c r="BR19" s="90">
        <v>0.10879999999999999</v>
      </c>
      <c r="BT19" s="89">
        <v>2653.39</v>
      </c>
      <c r="BU19" s="89">
        <v>3472.84</v>
      </c>
      <c r="BV19" s="89">
        <v>406.62</v>
      </c>
    </row>
    <row r="20" spans="2:74" x14ac:dyDescent="0.2">
      <c r="B20" s="63" t="s">
        <v>108</v>
      </c>
      <c r="C20" s="64">
        <v>1</v>
      </c>
      <c r="D20" s="65">
        <v>66116</v>
      </c>
      <c r="E20" s="64"/>
      <c r="F20" s="65">
        <v>21818.280000000002</v>
      </c>
      <c r="G20" s="65">
        <v>66116</v>
      </c>
      <c r="H20" s="65">
        <v>66116</v>
      </c>
      <c r="I20" s="65">
        <v>793392</v>
      </c>
      <c r="J20" s="65">
        <v>9810.4196666666667</v>
      </c>
      <c r="K20" s="65">
        <v>1872.9521735159815</v>
      </c>
      <c r="L20" s="65">
        <v>11683.371840182648</v>
      </c>
      <c r="M20" s="65">
        <v>116833.71840182648</v>
      </c>
      <c r="N20" s="65">
        <v>32727.420000000006</v>
      </c>
      <c r="O20" s="65">
        <v>32727.420000000006</v>
      </c>
      <c r="P20" s="65">
        <v>36662.121088584448</v>
      </c>
      <c r="Q20" s="65">
        <v>20165.973968749997</v>
      </c>
      <c r="R20" s="65">
        <v>23801.760000000002</v>
      </c>
      <c r="S20" s="65">
        <v>138843.59999999998</v>
      </c>
      <c r="T20" s="65">
        <v>13588.199999999999</v>
      </c>
      <c r="U20" s="65">
        <v>617.26499999999999</v>
      </c>
      <c r="V20" s="65">
        <v>7407.18</v>
      </c>
      <c r="W20" s="65">
        <v>617.26499999999999</v>
      </c>
      <c r="X20" s="65">
        <v>7407.18</v>
      </c>
      <c r="Y20" s="65">
        <v>0</v>
      </c>
      <c r="Z20" s="65">
        <v>0</v>
      </c>
      <c r="AA20" s="3"/>
      <c r="AB20" s="42">
        <f t="shared" si="17"/>
        <v>2203.8666666666668</v>
      </c>
      <c r="AC20" s="60">
        <f t="shared" si="18"/>
        <v>0</v>
      </c>
      <c r="AD20" s="61">
        <f t="shared" si="19"/>
        <v>2203.8666666666668</v>
      </c>
      <c r="AE20" s="61">
        <f t="shared" si="20"/>
        <v>1887.2499999999998</v>
      </c>
      <c r="AF20" s="62">
        <f t="shared" si="21"/>
        <v>5620.9853999999996</v>
      </c>
      <c r="AG20" s="62">
        <f t="shared" si="22"/>
        <v>6668.0316999999986</v>
      </c>
      <c r="AH20" s="62">
        <f t="shared" si="23"/>
        <v>2424.7387999999996</v>
      </c>
      <c r="AI20" s="62">
        <f t="shared" si="24"/>
        <v>5452.2180687499995</v>
      </c>
      <c r="AJ20" s="62">
        <f t="shared" si="5"/>
        <v>17741.235168749998</v>
      </c>
      <c r="AK20" s="62">
        <f t="shared" si="6"/>
        <v>2424.7387999999996</v>
      </c>
      <c r="AL20" s="62">
        <f t="shared" si="7"/>
        <v>20165.973968749997</v>
      </c>
      <c r="AN20" s="27">
        <f t="shared" si="25"/>
        <v>16623.0664</v>
      </c>
      <c r="AP20" s="66">
        <f t="shared" si="26"/>
        <v>114569.01840182648</v>
      </c>
      <c r="AQ20" s="55">
        <f t="shared" si="27"/>
        <v>9542.1867381247248</v>
      </c>
      <c r="AR20" s="16">
        <f t="shared" si="36"/>
        <v>76892.716738124727</v>
      </c>
      <c r="AS20" s="55">
        <f t="shared" si="37"/>
        <v>19676.566156199911</v>
      </c>
      <c r="AT20" s="55">
        <f t="shared" si="38"/>
        <v>16623.0664</v>
      </c>
      <c r="AU20" s="55">
        <f t="shared" si="39"/>
        <v>3053.4997561999116</v>
      </c>
      <c r="AV20" s="16">
        <f t="shared" si="40"/>
        <v>86434.903476249456</v>
      </c>
      <c r="AW20" s="56">
        <f t="shared" si="41"/>
        <v>0.31999999999999995</v>
      </c>
      <c r="AX20" s="62">
        <f t="shared" si="42"/>
        <v>36662.085888584472</v>
      </c>
      <c r="AY20" s="62">
        <f t="shared" si="43"/>
        <v>36662.085888584472</v>
      </c>
      <c r="AZ20" s="16"/>
      <c r="BA20" s="16">
        <f t="shared" si="44"/>
        <v>191461.73513995123</v>
      </c>
      <c r="BB20" s="55">
        <f t="shared" si="28"/>
        <v>58501.224347583418</v>
      </c>
      <c r="BC20" s="55">
        <f t="shared" si="29"/>
        <v>16623.0664</v>
      </c>
      <c r="BD20" s="55">
        <f t="shared" si="13"/>
        <v>41878.157947583415</v>
      </c>
      <c r="BE20" s="55">
        <f t="shared" si="30"/>
        <v>41878.157947583415</v>
      </c>
      <c r="BF20" s="56"/>
      <c r="BG20" s="62">
        <f t="shared" si="45"/>
        <v>808206.36</v>
      </c>
      <c r="BH20" s="62">
        <f t="shared" si="31"/>
        <v>114569.01840182648</v>
      </c>
      <c r="BI20" s="62">
        <f t="shared" si="46"/>
        <v>922775.37840182649</v>
      </c>
      <c r="BJ20" s="55">
        <f t="shared" si="32"/>
        <v>236138.91788858446</v>
      </c>
      <c r="BK20" s="55">
        <f t="shared" si="33"/>
        <v>199476.79680000001</v>
      </c>
      <c r="BL20" s="55">
        <f t="shared" si="34"/>
        <v>36662.121088584448</v>
      </c>
      <c r="BM20" s="55">
        <f t="shared" si="35"/>
        <v>36662.121088584448</v>
      </c>
      <c r="BN20" s="67"/>
      <c r="BO20" s="89">
        <v>7399.43</v>
      </c>
      <c r="BP20" s="89">
        <v>8601.5</v>
      </c>
      <c r="BQ20" s="89">
        <v>594.21</v>
      </c>
      <c r="BR20" s="90">
        <v>0.16</v>
      </c>
      <c r="BT20" s="89">
        <v>3472.85</v>
      </c>
      <c r="BU20" s="89">
        <v>3537.87</v>
      </c>
      <c r="BV20" s="89">
        <v>392.77</v>
      </c>
    </row>
    <row r="21" spans="2:74" x14ac:dyDescent="0.2">
      <c r="B21" s="63" t="s">
        <v>109</v>
      </c>
      <c r="C21" s="64">
        <v>1</v>
      </c>
      <c r="D21" s="65">
        <v>66116</v>
      </c>
      <c r="E21" s="64"/>
      <c r="F21" s="65">
        <v>21818.280000000002</v>
      </c>
      <c r="G21" s="65">
        <v>66116</v>
      </c>
      <c r="H21" s="65">
        <v>66116</v>
      </c>
      <c r="I21" s="65">
        <v>793392</v>
      </c>
      <c r="J21" s="65">
        <v>9810.4196666666667</v>
      </c>
      <c r="K21" s="65">
        <v>1872.9521735159815</v>
      </c>
      <c r="L21" s="65">
        <v>11683.371840182648</v>
      </c>
      <c r="M21" s="65">
        <v>116833.71840182648</v>
      </c>
      <c r="N21" s="65">
        <v>32727.420000000006</v>
      </c>
      <c r="O21" s="65">
        <v>32727.420000000006</v>
      </c>
      <c r="P21" s="65">
        <v>36662.121088584448</v>
      </c>
      <c r="Q21" s="65">
        <v>20165.973968749997</v>
      </c>
      <c r="R21" s="65">
        <v>23801.760000000002</v>
      </c>
      <c r="S21" s="65">
        <v>138843.59999999998</v>
      </c>
      <c r="T21" s="65">
        <v>13588.199999999999</v>
      </c>
      <c r="U21" s="65">
        <v>617.26499999999999</v>
      </c>
      <c r="V21" s="65">
        <v>7407.18</v>
      </c>
      <c r="W21" s="65">
        <v>617.26499999999999</v>
      </c>
      <c r="X21" s="65">
        <v>7407.18</v>
      </c>
      <c r="Y21" s="65">
        <v>0</v>
      </c>
      <c r="Z21" s="65">
        <v>0</v>
      </c>
      <c r="AA21" s="3"/>
      <c r="AB21" s="42">
        <f t="shared" si="17"/>
        <v>2203.8666666666668</v>
      </c>
      <c r="AC21" s="60">
        <f t="shared" si="18"/>
        <v>0</v>
      </c>
      <c r="AD21" s="61">
        <f t="shared" si="19"/>
        <v>2203.8666666666668</v>
      </c>
      <c r="AE21" s="61">
        <f t="shared" si="20"/>
        <v>1887.2499999999998</v>
      </c>
      <c r="AF21" s="62">
        <f t="shared" si="21"/>
        <v>5620.9853999999996</v>
      </c>
      <c r="AG21" s="62">
        <f t="shared" si="22"/>
        <v>6668.0316999999986</v>
      </c>
      <c r="AH21" s="62">
        <f t="shared" si="23"/>
        <v>2424.7387999999996</v>
      </c>
      <c r="AI21" s="62">
        <f t="shared" si="24"/>
        <v>5452.2180687499995</v>
      </c>
      <c r="AJ21" s="62">
        <f t="shared" si="5"/>
        <v>17741.235168749998</v>
      </c>
      <c r="AK21" s="62">
        <f t="shared" si="6"/>
        <v>2424.7387999999996</v>
      </c>
      <c r="AL21" s="62">
        <f t="shared" si="7"/>
        <v>20165.973968749997</v>
      </c>
      <c r="AN21" s="27">
        <f t="shared" si="25"/>
        <v>16623.0664</v>
      </c>
      <c r="AP21" s="66">
        <f t="shared" si="26"/>
        <v>114569.01840182648</v>
      </c>
      <c r="AQ21" s="55">
        <f t="shared" si="27"/>
        <v>9542.1867381247248</v>
      </c>
      <c r="AR21" s="16">
        <f t="shared" si="36"/>
        <v>76892.716738124727</v>
      </c>
      <c r="AS21" s="55">
        <f t="shared" si="37"/>
        <v>19676.566156199911</v>
      </c>
      <c r="AT21" s="55">
        <f t="shared" si="38"/>
        <v>16623.0664</v>
      </c>
      <c r="AU21" s="55">
        <f t="shared" si="39"/>
        <v>3053.4997561999116</v>
      </c>
      <c r="AV21" s="16">
        <f t="shared" si="40"/>
        <v>86434.903476249456</v>
      </c>
      <c r="AW21" s="56">
        <f t="shared" si="41"/>
        <v>0.31999999999999995</v>
      </c>
      <c r="AX21" s="62">
        <f t="shared" si="42"/>
        <v>36662.085888584472</v>
      </c>
      <c r="AY21" s="62">
        <f t="shared" si="43"/>
        <v>36662.085888584472</v>
      </c>
      <c r="AZ21" s="16"/>
      <c r="BA21" s="16">
        <f t="shared" si="44"/>
        <v>191461.73513995123</v>
      </c>
      <c r="BB21" s="55">
        <f t="shared" si="28"/>
        <v>58501.224347583418</v>
      </c>
      <c r="BC21" s="55">
        <f t="shared" si="29"/>
        <v>16623.0664</v>
      </c>
      <c r="BD21" s="55">
        <f t="shared" si="13"/>
        <v>41878.157947583415</v>
      </c>
      <c r="BE21" s="55">
        <f t="shared" si="30"/>
        <v>41878.157947583415</v>
      </c>
      <c r="BF21" s="56"/>
      <c r="BG21" s="62">
        <f t="shared" si="45"/>
        <v>808206.36</v>
      </c>
      <c r="BH21" s="62">
        <f t="shared" si="31"/>
        <v>114569.01840182648</v>
      </c>
      <c r="BI21" s="62">
        <f t="shared" si="46"/>
        <v>922775.37840182649</v>
      </c>
      <c r="BJ21" s="55">
        <f t="shared" si="32"/>
        <v>236138.91788858446</v>
      </c>
      <c r="BK21" s="55">
        <f t="shared" si="33"/>
        <v>199476.79680000001</v>
      </c>
      <c r="BL21" s="55">
        <f t="shared" si="34"/>
        <v>36662.121088584448</v>
      </c>
      <c r="BM21" s="55">
        <f t="shared" si="35"/>
        <v>36662.121088584448</v>
      </c>
      <c r="BN21" s="67"/>
      <c r="BO21" s="91">
        <v>8601.51</v>
      </c>
      <c r="BP21" s="91">
        <v>10298.35</v>
      </c>
      <c r="BQ21" s="91">
        <v>786.54</v>
      </c>
      <c r="BR21" s="92">
        <v>0.1792</v>
      </c>
      <c r="BT21" s="89">
        <v>3537.88</v>
      </c>
      <c r="BU21" s="89">
        <v>4446.1499999999996</v>
      </c>
      <c r="BV21" s="89">
        <v>382.46</v>
      </c>
    </row>
    <row r="22" spans="2:74" x14ac:dyDescent="0.2">
      <c r="B22" s="63" t="s">
        <v>110</v>
      </c>
      <c r="C22" s="64">
        <v>1</v>
      </c>
      <c r="D22" s="65">
        <v>33058</v>
      </c>
      <c r="E22" s="64"/>
      <c r="F22" s="65">
        <v>10909.140000000001</v>
      </c>
      <c r="G22" s="65">
        <v>33058</v>
      </c>
      <c r="H22" s="65">
        <v>33058</v>
      </c>
      <c r="I22" s="65">
        <v>396696</v>
      </c>
      <c r="J22" s="65">
        <v>5022.0955847031955</v>
      </c>
      <c r="K22" s="65">
        <v>953.33108538812769</v>
      </c>
      <c r="L22" s="65">
        <v>5975.4266700913231</v>
      </c>
      <c r="M22" s="65">
        <v>59754.266700913227</v>
      </c>
      <c r="N22" s="65">
        <v>16363.710000000003</v>
      </c>
      <c r="O22" s="65">
        <v>16363.710000000003</v>
      </c>
      <c r="P22" s="65">
        <v>17246.903010273963</v>
      </c>
      <c r="Q22" s="65">
        <v>14986.399130000002</v>
      </c>
      <c r="R22" s="65">
        <v>11900.880000000001</v>
      </c>
      <c r="S22" s="65">
        <v>69421.799999999988</v>
      </c>
      <c r="T22" s="65">
        <v>7933.92</v>
      </c>
      <c r="U22" s="65">
        <v>709.85474999999997</v>
      </c>
      <c r="V22" s="65">
        <v>8518.2569999999996</v>
      </c>
      <c r="W22" s="65">
        <v>709.85474999999997</v>
      </c>
      <c r="X22" s="65">
        <v>8518.2569999999996</v>
      </c>
      <c r="Y22" s="65">
        <v>0</v>
      </c>
      <c r="Z22" s="65">
        <v>16529</v>
      </c>
      <c r="AA22" s="3"/>
      <c r="AB22" s="42">
        <f t="shared" si="17"/>
        <v>1101.9333333333334</v>
      </c>
      <c r="AC22" s="60">
        <f t="shared" si="18"/>
        <v>0</v>
      </c>
      <c r="AD22" s="61">
        <f t="shared" si="19"/>
        <v>1101.9333333333334</v>
      </c>
      <c r="AE22" s="61">
        <f t="shared" si="20"/>
        <v>1267.9780821917809</v>
      </c>
      <c r="AF22" s="62">
        <f t="shared" si="21"/>
        <v>5620.9853999999996</v>
      </c>
      <c r="AG22" s="62">
        <f t="shared" si="22"/>
        <v>4181.6549500000001</v>
      </c>
      <c r="AH22" s="62">
        <f t="shared" si="23"/>
        <v>1520.6017999999999</v>
      </c>
      <c r="AI22" s="62">
        <f t="shared" si="24"/>
        <v>3663.1569800000007</v>
      </c>
      <c r="AJ22" s="62">
        <f t="shared" si="5"/>
        <v>13465.797330000001</v>
      </c>
      <c r="AK22" s="62">
        <f t="shared" si="6"/>
        <v>1520.6017999999999</v>
      </c>
      <c r="AL22" s="62">
        <f t="shared" si="7"/>
        <v>14986.399130000002</v>
      </c>
      <c r="AN22" s="27">
        <f t="shared" si="25"/>
        <v>6664.2108499999986</v>
      </c>
      <c r="AP22" s="66">
        <f t="shared" si="26"/>
        <v>57489.56670091323</v>
      </c>
      <c r="AQ22" s="55">
        <f t="shared" si="27"/>
        <v>4788.1721307061971</v>
      </c>
      <c r="AR22" s="16">
        <f t="shared" si="36"/>
        <v>39265.881630706193</v>
      </c>
      <c r="AS22" s="55">
        <f t="shared" si="37"/>
        <v>8100.662489211858</v>
      </c>
      <c r="AT22" s="55">
        <f t="shared" si="38"/>
        <v>6664.2108499999986</v>
      </c>
      <c r="AU22" s="55">
        <f t="shared" si="39"/>
        <v>1436.4516392118594</v>
      </c>
      <c r="AV22" s="16">
        <f t="shared" si="40"/>
        <v>44054.05376141239</v>
      </c>
      <c r="AW22" s="56">
        <f t="shared" si="41"/>
        <v>0.30000000000000004</v>
      </c>
      <c r="AX22" s="62">
        <f t="shared" si="42"/>
        <v>17246.870010273971</v>
      </c>
      <c r="AY22" s="62">
        <f t="shared" si="43"/>
        <v>17246.870010273971</v>
      </c>
      <c r="AZ22" s="16"/>
      <c r="BA22" s="16">
        <f t="shared" si="44"/>
        <v>96755.448331619424</v>
      </c>
      <c r="BB22" s="55">
        <f t="shared" si="28"/>
        <v>26301.086832750603</v>
      </c>
      <c r="BC22" s="55">
        <f t="shared" si="29"/>
        <v>6664.2108499999986</v>
      </c>
      <c r="BD22" s="55">
        <f t="shared" si="13"/>
        <v>19636.875982750604</v>
      </c>
      <c r="BE22" s="55">
        <f t="shared" si="30"/>
        <v>19636.875982750604</v>
      </c>
      <c r="BF22" s="56"/>
      <c r="BG22" s="62">
        <f t="shared" si="45"/>
        <v>413732.51399999997</v>
      </c>
      <c r="BH22" s="62">
        <f t="shared" si="31"/>
        <v>57489.56670091323</v>
      </c>
      <c r="BI22" s="62">
        <f t="shared" si="46"/>
        <v>471222.08070091321</v>
      </c>
      <c r="BJ22" s="55">
        <f t="shared" si="32"/>
        <v>97217.433210273943</v>
      </c>
      <c r="BK22" s="55">
        <f t="shared" si="33"/>
        <v>79970.530199999979</v>
      </c>
      <c r="BL22" s="55">
        <f t="shared" si="34"/>
        <v>17246.903010273963</v>
      </c>
      <c r="BM22" s="55">
        <f t="shared" si="35"/>
        <v>17246.903010273963</v>
      </c>
      <c r="BN22" s="67"/>
      <c r="BO22" s="91"/>
      <c r="BP22" s="91"/>
      <c r="BQ22" s="91"/>
      <c r="BR22" s="92"/>
      <c r="BT22" s="89"/>
      <c r="BU22" s="89"/>
      <c r="BV22" s="89"/>
    </row>
    <row r="23" spans="2:74" x14ac:dyDescent="0.2">
      <c r="B23" s="63" t="s">
        <v>111</v>
      </c>
      <c r="C23" s="64">
        <v>1</v>
      </c>
      <c r="D23" s="65">
        <v>33058</v>
      </c>
      <c r="E23" s="64"/>
      <c r="F23" s="65">
        <v>10909.140000000001</v>
      </c>
      <c r="G23" s="65">
        <v>33058</v>
      </c>
      <c r="H23" s="65">
        <v>33058</v>
      </c>
      <c r="I23" s="65">
        <v>396696</v>
      </c>
      <c r="J23" s="65">
        <v>5022.0955847031955</v>
      </c>
      <c r="K23" s="65">
        <v>953.33108538812769</v>
      </c>
      <c r="L23" s="65">
        <v>5975.4266700913231</v>
      </c>
      <c r="M23" s="65">
        <v>59754.266700913227</v>
      </c>
      <c r="N23" s="65">
        <v>16363.710000000003</v>
      </c>
      <c r="O23" s="65">
        <v>16363.710000000003</v>
      </c>
      <c r="P23" s="65">
        <v>17246.903010273963</v>
      </c>
      <c r="Q23" s="65">
        <v>14986.399130000002</v>
      </c>
      <c r="R23" s="65">
        <v>11900.880000000001</v>
      </c>
      <c r="S23" s="65">
        <v>69421.799999999988</v>
      </c>
      <c r="T23" s="65">
        <v>7933.92</v>
      </c>
      <c r="U23" s="65">
        <v>709.85474999999997</v>
      </c>
      <c r="V23" s="65">
        <v>8518.2569999999996</v>
      </c>
      <c r="W23" s="65">
        <v>709.85474999999997</v>
      </c>
      <c r="X23" s="65">
        <v>8518.2569999999996</v>
      </c>
      <c r="Y23" s="65">
        <v>0</v>
      </c>
      <c r="Z23" s="65">
        <v>16529</v>
      </c>
      <c r="AA23" s="3"/>
      <c r="AB23" s="42">
        <f t="shared" si="17"/>
        <v>1101.9333333333334</v>
      </c>
      <c r="AC23" s="60">
        <f t="shared" si="18"/>
        <v>0</v>
      </c>
      <c r="AD23" s="61">
        <f t="shared" si="19"/>
        <v>1101.9333333333334</v>
      </c>
      <c r="AE23" s="61">
        <f t="shared" si="20"/>
        <v>1267.9780821917809</v>
      </c>
      <c r="AF23" s="62">
        <f t="shared" si="21"/>
        <v>5620.9853999999996</v>
      </c>
      <c r="AG23" s="62">
        <f t="shared" si="22"/>
        <v>4181.6549500000001</v>
      </c>
      <c r="AH23" s="62">
        <f t="shared" si="23"/>
        <v>1520.6017999999999</v>
      </c>
      <c r="AI23" s="62">
        <f t="shared" si="24"/>
        <v>3663.1569800000007</v>
      </c>
      <c r="AJ23" s="62">
        <f t="shared" si="5"/>
        <v>13465.797330000001</v>
      </c>
      <c r="AK23" s="62">
        <f t="shared" si="6"/>
        <v>1520.6017999999999</v>
      </c>
      <c r="AL23" s="62">
        <f t="shared" si="7"/>
        <v>14986.399130000002</v>
      </c>
      <c r="AN23" s="27">
        <f t="shared" si="25"/>
        <v>6664.2108499999986</v>
      </c>
      <c r="AP23" s="66">
        <f t="shared" si="26"/>
        <v>57489.56670091323</v>
      </c>
      <c r="AQ23" s="55">
        <f t="shared" si="27"/>
        <v>4788.1721307061971</v>
      </c>
      <c r="AR23" s="16">
        <f t="shared" si="36"/>
        <v>39265.881630706193</v>
      </c>
      <c r="AS23" s="55">
        <f t="shared" si="37"/>
        <v>8100.662489211858</v>
      </c>
      <c r="AT23" s="55">
        <f t="shared" si="38"/>
        <v>6664.2108499999986</v>
      </c>
      <c r="AU23" s="55">
        <f t="shared" si="39"/>
        <v>1436.4516392118594</v>
      </c>
      <c r="AV23" s="16">
        <f t="shared" si="40"/>
        <v>44054.05376141239</v>
      </c>
      <c r="AW23" s="56">
        <f t="shared" si="41"/>
        <v>0.30000000000000004</v>
      </c>
      <c r="AX23" s="62">
        <f t="shared" si="42"/>
        <v>17246.870010273971</v>
      </c>
      <c r="AY23" s="62">
        <f t="shared" si="43"/>
        <v>17246.870010273971</v>
      </c>
      <c r="AZ23" s="16"/>
      <c r="BA23" s="16">
        <f t="shared" si="44"/>
        <v>96755.448331619424</v>
      </c>
      <c r="BB23" s="55">
        <f t="shared" si="28"/>
        <v>26301.086832750603</v>
      </c>
      <c r="BC23" s="55">
        <f t="shared" si="29"/>
        <v>6664.2108499999986</v>
      </c>
      <c r="BD23" s="55">
        <f t="shared" si="13"/>
        <v>19636.875982750604</v>
      </c>
      <c r="BE23" s="55">
        <f t="shared" si="30"/>
        <v>19636.875982750604</v>
      </c>
      <c r="BF23" s="56"/>
      <c r="BG23" s="62">
        <f t="shared" si="45"/>
        <v>413732.51399999997</v>
      </c>
      <c r="BH23" s="62">
        <f t="shared" si="31"/>
        <v>57489.56670091323</v>
      </c>
      <c r="BI23" s="62">
        <f t="shared" si="46"/>
        <v>471222.08070091321</v>
      </c>
      <c r="BJ23" s="55">
        <f t="shared" si="32"/>
        <v>97217.433210273943</v>
      </c>
      <c r="BK23" s="55">
        <f t="shared" si="33"/>
        <v>79970.530199999979</v>
      </c>
      <c r="BL23" s="55">
        <f t="shared" si="34"/>
        <v>17246.903010273963</v>
      </c>
      <c r="BM23" s="55">
        <f t="shared" si="35"/>
        <v>17246.903010273963</v>
      </c>
      <c r="BN23" s="67"/>
      <c r="BO23" s="91"/>
      <c r="BP23" s="91"/>
      <c r="BQ23" s="91"/>
      <c r="BR23" s="92"/>
      <c r="BT23" s="89"/>
      <c r="BU23" s="89"/>
      <c r="BV23" s="89"/>
    </row>
    <row r="24" spans="2:74" x14ac:dyDescent="0.2">
      <c r="B24" s="63" t="s">
        <v>112</v>
      </c>
      <c r="C24" s="64">
        <v>1</v>
      </c>
      <c r="D24" s="65">
        <v>33058</v>
      </c>
      <c r="E24" s="64"/>
      <c r="F24" s="65">
        <v>10909.140000000001</v>
      </c>
      <c r="G24" s="65">
        <v>33058</v>
      </c>
      <c r="H24" s="65">
        <v>33058</v>
      </c>
      <c r="I24" s="65">
        <v>396696</v>
      </c>
      <c r="J24" s="65">
        <v>5022.0955847031955</v>
      </c>
      <c r="K24" s="65">
        <v>953.33108538812769</v>
      </c>
      <c r="L24" s="65">
        <v>5975.4266700913231</v>
      </c>
      <c r="M24" s="65">
        <v>59754.266700913227</v>
      </c>
      <c r="N24" s="65">
        <v>16363.710000000003</v>
      </c>
      <c r="O24" s="65">
        <v>16363.710000000003</v>
      </c>
      <c r="P24" s="65">
        <v>17246.903010273963</v>
      </c>
      <c r="Q24" s="65">
        <v>14986.399130000002</v>
      </c>
      <c r="R24" s="65">
        <v>11900.880000000001</v>
      </c>
      <c r="S24" s="65">
        <v>69421.799999999988</v>
      </c>
      <c r="T24" s="65">
        <v>7933.92</v>
      </c>
      <c r="U24" s="65">
        <v>709.85474999999997</v>
      </c>
      <c r="V24" s="65">
        <v>8518.2569999999996</v>
      </c>
      <c r="W24" s="65">
        <v>709.85474999999997</v>
      </c>
      <c r="X24" s="65">
        <v>8518.2569999999996</v>
      </c>
      <c r="Y24" s="65">
        <v>0</v>
      </c>
      <c r="Z24" s="65">
        <v>16529</v>
      </c>
      <c r="AA24" s="3"/>
      <c r="AB24" s="42">
        <f t="shared" si="17"/>
        <v>1101.9333333333334</v>
      </c>
      <c r="AC24" s="60">
        <f t="shared" si="18"/>
        <v>0</v>
      </c>
      <c r="AD24" s="61">
        <f t="shared" si="19"/>
        <v>1101.9333333333334</v>
      </c>
      <c r="AE24" s="61">
        <f t="shared" si="20"/>
        <v>1267.9780821917809</v>
      </c>
      <c r="AF24" s="62">
        <f t="shared" si="21"/>
        <v>5620.9853999999996</v>
      </c>
      <c r="AG24" s="62">
        <f t="shared" si="22"/>
        <v>4181.6549500000001</v>
      </c>
      <c r="AH24" s="62">
        <f t="shared" si="23"/>
        <v>1520.6017999999999</v>
      </c>
      <c r="AI24" s="62">
        <f t="shared" si="24"/>
        <v>3663.1569800000007</v>
      </c>
      <c r="AJ24" s="62">
        <f t="shared" si="5"/>
        <v>13465.797330000001</v>
      </c>
      <c r="AK24" s="62">
        <f t="shared" si="6"/>
        <v>1520.6017999999999</v>
      </c>
      <c r="AL24" s="62">
        <f t="shared" si="7"/>
        <v>14986.399130000002</v>
      </c>
      <c r="AN24" s="27">
        <f t="shared" si="25"/>
        <v>6664.2108499999986</v>
      </c>
      <c r="AP24" s="66">
        <f t="shared" si="26"/>
        <v>57489.56670091323</v>
      </c>
      <c r="AQ24" s="55">
        <f t="shared" si="27"/>
        <v>4788.1721307061971</v>
      </c>
      <c r="AR24" s="16">
        <f t="shared" si="36"/>
        <v>39265.881630706193</v>
      </c>
      <c r="AS24" s="55">
        <f t="shared" si="37"/>
        <v>8100.662489211858</v>
      </c>
      <c r="AT24" s="55">
        <f t="shared" si="38"/>
        <v>6664.2108499999986</v>
      </c>
      <c r="AU24" s="55">
        <f t="shared" si="39"/>
        <v>1436.4516392118594</v>
      </c>
      <c r="AV24" s="16">
        <f t="shared" si="40"/>
        <v>44054.05376141239</v>
      </c>
      <c r="AW24" s="56">
        <f t="shared" si="41"/>
        <v>0.30000000000000004</v>
      </c>
      <c r="AX24" s="62">
        <f t="shared" si="42"/>
        <v>17246.870010273971</v>
      </c>
      <c r="AY24" s="62">
        <f t="shared" si="43"/>
        <v>17246.870010273971</v>
      </c>
      <c r="AZ24" s="16"/>
      <c r="BA24" s="16">
        <f t="shared" si="44"/>
        <v>96755.448331619424</v>
      </c>
      <c r="BB24" s="55">
        <f t="shared" si="28"/>
        <v>26301.086832750603</v>
      </c>
      <c r="BC24" s="55">
        <f t="shared" si="29"/>
        <v>6664.2108499999986</v>
      </c>
      <c r="BD24" s="55">
        <f t="shared" si="13"/>
        <v>19636.875982750604</v>
      </c>
      <c r="BE24" s="55">
        <f t="shared" si="30"/>
        <v>19636.875982750604</v>
      </c>
      <c r="BF24" s="56"/>
      <c r="BG24" s="62">
        <f t="shared" si="45"/>
        <v>413732.51399999997</v>
      </c>
      <c r="BH24" s="62">
        <f t="shared" si="31"/>
        <v>57489.56670091323</v>
      </c>
      <c r="BI24" s="62">
        <f t="shared" si="46"/>
        <v>471222.08070091321</v>
      </c>
      <c r="BJ24" s="55">
        <f t="shared" si="32"/>
        <v>97217.433210273943</v>
      </c>
      <c r="BK24" s="55">
        <f t="shared" si="33"/>
        <v>79970.530199999979</v>
      </c>
      <c r="BL24" s="55">
        <f t="shared" si="34"/>
        <v>17246.903010273963</v>
      </c>
      <c r="BM24" s="55">
        <f t="shared" si="35"/>
        <v>17246.903010273963</v>
      </c>
      <c r="BN24" s="67"/>
      <c r="BO24" s="91"/>
      <c r="BP24" s="91"/>
      <c r="BQ24" s="91"/>
      <c r="BR24" s="92"/>
      <c r="BT24" s="89"/>
      <c r="BU24" s="89"/>
      <c r="BV24" s="89"/>
    </row>
    <row r="25" spans="2:74" x14ac:dyDescent="0.2">
      <c r="B25" s="63" t="s">
        <v>113</v>
      </c>
      <c r="C25" s="64">
        <v>2</v>
      </c>
      <c r="D25" s="65">
        <v>25429</v>
      </c>
      <c r="E25" s="64"/>
      <c r="F25" s="65">
        <v>8391.57</v>
      </c>
      <c r="G25" s="65">
        <v>25429</v>
      </c>
      <c r="H25" s="65">
        <v>50858</v>
      </c>
      <c r="I25" s="65">
        <v>610296</v>
      </c>
      <c r="J25" s="65">
        <v>3941.8591004908681</v>
      </c>
      <c r="K25" s="65">
        <v>744.67984134703181</v>
      </c>
      <c r="L25" s="65">
        <v>9373.0778836758</v>
      </c>
      <c r="M25" s="65">
        <v>93730.778836757992</v>
      </c>
      <c r="N25" s="65">
        <v>12587.355</v>
      </c>
      <c r="O25" s="65">
        <v>25174.71</v>
      </c>
      <c r="P25" s="65">
        <v>20980.216046405461</v>
      </c>
      <c r="Q25" s="65">
        <v>25077.879279999997</v>
      </c>
      <c r="R25" s="65">
        <v>18308.88</v>
      </c>
      <c r="S25" s="65">
        <v>106801.79999999999</v>
      </c>
      <c r="T25" s="65">
        <v>12205.92</v>
      </c>
      <c r="U25" s="65">
        <v>816.33296249999989</v>
      </c>
      <c r="V25" s="65">
        <v>19591.991099999999</v>
      </c>
      <c r="W25" s="65">
        <v>816.33296249999989</v>
      </c>
      <c r="X25" s="65">
        <v>19591.991099999999</v>
      </c>
      <c r="Y25" s="65">
        <v>0</v>
      </c>
      <c r="Z25" s="65">
        <v>25429</v>
      </c>
      <c r="AA25" s="3"/>
      <c r="AB25" s="42">
        <f t="shared" si="17"/>
        <v>847.63333333333333</v>
      </c>
      <c r="AC25" s="60">
        <f t="shared" si="18"/>
        <v>0</v>
      </c>
      <c r="AD25" s="61">
        <f t="shared" si="19"/>
        <v>847.63333333333333</v>
      </c>
      <c r="AE25" s="61">
        <f t="shared" si="20"/>
        <v>975.35890410958893</v>
      </c>
      <c r="AF25" s="62">
        <f t="shared" si="21"/>
        <v>5620.9853999999996</v>
      </c>
      <c r="AG25" s="62">
        <f t="shared" si="22"/>
        <v>3006.7889500000001</v>
      </c>
      <c r="AH25" s="62">
        <f t="shared" si="23"/>
        <v>1093.3778</v>
      </c>
      <c r="AI25" s="62">
        <f t="shared" si="24"/>
        <v>2817.7874899999997</v>
      </c>
      <c r="AJ25" s="62">
        <f t="shared" si="5"/>
        <v>11445.561839999998</v>
      </c>
      <c r="AK25" s="62">
        <f t="shared" si="6"/>
        <v>1093.3778</v>
      </c>
      <c r="AL25" s="62">
        <f t="shared" si="7"/>
        <v>12538.939639999999</v>
      </c>
      <c r="AN25" s="27">
        <f t="shared" si="25"/>
        <v>9614.2985311200009</v>
      </c>
      <c r="AP25" s="66">
        <f t="shared" si="26"/>
        <v>44600.689418378999</v>
      </c>
      <c r="AQ25" s="55">
        <f t="shared" si="27"/>
        <v>3714.6875570375933</v>
      </c>
      <c r="AR25" s="16">
        <f t="shared" si="36"/>
        <v>30776.353482037593</v>
      </c>
      <c r="AS25" s="55">
        <f t="shared" si="37"/>
        <v>5680.8437789752425</v>
      </c>
      <c r="AT25" s="55">
        <f t="shared" si="38"/>
        <v>4807.1492655600005</v>
      </c>
      <c r="AU25" s="55">
        <f t="shared" si="39"/>
        <v>873.694513415242</v>
      </c>
      <c r="AV25" s="16">
        <f t="shared" si="40"/>
        <v>34491.041039075186</v>
      </c>
      <c r="AW25" s="56">
        <f t="shared" si="41"/>
        <v>0.23520000000000002</v>
      </c>
      <c r="AX25" s="62">
        <f t="shared" si="42"/>
        <v>10490.082151202741</v>
      </c>
      <c r="AY25" s="62">
        <f t="shared" si="43"/>
        <v>20980.164302405483</v>
      </c>
      <c r="AZ25" s="16"/>
      <c r="BA25" s="16">
        <f t="shared" si="44"/>
        <v>75377.042900416593</v>
      </c>
      <c r="BB25" s="55">
        <f t="shared" si="28"/>
        <v>19191.55052813331</v>
      </c>
      <c r="BC25" s="55">
        <f t="shared" si="29"/>
        <v>4807.1492655600005</v>
      </c>
      <c r="BD25" s="55">
        <f t="shared" si="13"/>
        <v>14384.401262573308</v>
      </c>
      <c r="BE25" s="55">
        <f t="shared" si="30"/>
        <v>28768.802525146617</v>
      </c>
      <c r="BF25" s="56"/>
      <c r="BG25" s="62">
        <f t="shared" si="45"/>
        <v>324739.99109999998</v>
      </c>
      <c r="BH25" s="62">
        <f t="shared" si="31"/>
        <v>44600.689418378999</v>
      </c>
      <c r="BI25" s="62">
        <f t="shared" si="46"/>
        <v>369340.68051837897</v>
      </c>
      <c r="BJ25" s="55">
        <f t="shared" si="32"/>
        <v>68175.899209922733</v>
      </c>
      <c r="BK25" s="55">
        <f t="shared" si="33"/>
        <v>57685.791186720002</v>
      </c>
      <c r="BL25" s="55">
        <f t="shared" si="34"/>
        <v>10490.108023202731</v>
      </c>
      <c r="BM25" s="55">
        <f t="shared" si="35"/>
        <v>20980.216046405461</v>
      </c>
      <c r="BN25" s="67"/>
      <c r="BO25" s="91"/>
      <c r="BP25" s="91"/>
      <c r="BQ25" s="91"/>
      <c r="BR25" s="92"/>
      <c r="BT25" s="89"/>
      <c r="BU25" s="89"/>
      <c r="BV25" s="89"/>
    </row>
    <row r="26" spans="2:74" x14ac:dyDescent="0.2">
      <c r="B26" s="63" t="s">
        <v>114</v>
      </c>
      <c r="C26" s="64">
        <v>2</v>
      </c>
      <c r="D26" s="65">
        <v>25429</v>
      </c>
      <c r="E26" s="64"/>
      <c r="F26" s="65">
        <v>8391.57</v>
      </c>
      <c r="G26" s="65">
        <v>25429</v>
      </c>
      <c r="H26" s="65">
        <v>50858</v>
      </c>
      <c r="I26" s="65">
        <v>610296</v>
      </c>
      <c r="J26" s="65">
        <v>3941.8591004908681</v>
      </c>
      <c r="K26" s="65">
        <v>744.67984134703181</v>
      </c>
      <c r="L26" s="65">
        <v>9373.0778836758</v>
      </c>
      <c r="M26" s="65">
        <v>93730.778836757992</v>
      </c>
      <c r="N26" s="65">
        <v>12587.355</v>
      </c>
      <c r="O26" s="65">
        <v>25174.71</v>
      </c>
      <c r="P26" s="65">
        <v>20980.216046405461</v>
      </c>
      <c r="Q26" s="65">
        <v>25077.879279999997</v>
      </c>
      <c r="R26" s="65">
        <v>18308.88</v>
      </c>
      <c r="S26" s="65">
        <v>106801.79999999999</v>
      </c>
      <c r="T26" s="65">
        <v>12205.92</v>
      </c>
      <c r="U26" s="65">
        <v>816.33296249999989</v>
      </c>
      <c r="V26" s="65">
        <v>19591.991099999999</v>
      </c>
      <c r="W26" s="65">
        <v>816.33296249999989</v>
      </c>
      <c r="X26" s="65">
        <v>19591.991099999999</v>
      </c>
      <c r="Y26" s="65">
        <v>0</v>
      </c>
      <c r="Z26" s="65">
        <v>25429</v>
      </c>
      <c r="AA26" s="3"/>
      <c r="AB26" s="42">
        <f t="shared" si="17"/>
        <v>847.63333333333333</v>
      </c>
      <c r="AC26" s="60">
        <f t="shared" si="18"/>
        <v>0</v>
      </c>
      <c r="AD26" s="61">
        <f t="shared" si="19"/>
        <v>847.63333333333333</v>
      </c>
      <c r="AE26" s="61">
        <f t="shared" si="20"/>
        <v>975.35890410958893</v>
      </c>
      <c r="AF26" s="62">
        <f t="shared" si="21"/>
        <v>5620.9853999999996</v>
      </c>
      <c r="AG26" s="62">
        <f t="shared" si="22"/>
        <v>3006.7889500000001</v>
      </c>
      <c r="AH26" s="62">
        <f t="shared" si="23"/>
        <v>1093.3778</v>
      </c>
      <c r="AI26" s="62">
        <f t="shared" si="24"/>
        <v>2817.7874899999997</v>
      </c>
      <c r="AJ26" s="62">
        <f t="shared" si="5"/>
        <v>11445.561839999998</v>
      </c>
      <c r="AK26" s="62">
        <f t="shared" si="6"/>
        <v>1093.3778</v>
      </c>
      <c r="AL26" s="62">
        <f t="shared" si="7"/>
        <v>12538.939639999999</v>
      </c>
      <c r="AN26" s="27">
        <f t="shared" si="25"/>
        <v>9614.2985311200009</v>
      </c>
      <c r="AP26" s="66">
        <f t="shared" si="26"/>
        <v>44600.689418378999</v>
      </c>
      <c r="AQ26" s="55">
        <f t="shared" si="27"/>
        <v>3714.6875570375933</v>
      </c>
      <c r="AR26" s="16">
        <f t="shared" si="36"/>
        <v>30776.353482037593</v>
      </c>
      <c r="AS26" s="55">
        <f t="shared" si="37"/>
        <v>5680.8437789752425</v>
      </c>
      <c r="AT26" s="55">
        <f t="shared" si="38"/>
        <v>4807.1492655600005</v>
      </c>
      <c r="AU26" s="55">
        <f t="shared" si="39"/>
        <v>873.694513415242</v>
      </c>
      <c r="AV26" s="16">
        <f t="shared" si="40"/>
        <v>34491.041039075186</v>
      </c>
      <c r="AW26" s="56">
        <f t="shared" si="41"/>
        <v>0.23520000000000002</v>
      </c>
      <c r="AX26" s="62">
        <f t="shared" si="42"/>
        <v>10490.082151202741</v>
      </c>
      <c r="AY26" s="62">
        <f t="shared" si="43"/>
        <v>20980.164302405483</v>
      </c>
      <c r="AZ26" s="16"/>
      <c r="BA26" s="16">
        <f t="shared" si="44"/>
        <v>75377.042900416593</v>
      </c>
      <c r="BB26" s="55">
        <f t="shared" si="28"/>
        <v>19191.55052813331</v>
      </c>
      <c r="BC26" s="55">
        <f t="shared" si="29"/>
        <v>4807.1492655600005</v>
      </c>
      <c r="BD26" s="55">
        <f t="shared" si="13"/>
        <v>14384.401262573308</v>
      </c>
      <c r="BE26" s="55">
        <f t="shared" si="30"/>
        <v>28768.802525146617</v>
      </c>
      <c r="BF26" s="56"/>
      <c r="BG26" s="62">
        <f t="shared" si="45"/>
        <v>324739.99109999998</v>
      </c>
      <c r="BH26" s="62">
        <f t="shared" si="31"/>
        <v>44600.689418378999</v>
      </c>
      <c r="BI26" s="62">
        <f t="shared" si="46"/>
        <v>369340.68051837897</v>
      </c>
      <c r="BJ26" s="55">
        <f t="shared" si="32"/>
        <v>68175.899209922733</v>
      </c>
      <c r="BK26" s="55">
        <f t="shared" si="33"/>
        <v>57685.791186720002</v>
      </c>
      <c r="BL26" s="55">
        <f t="shared" si="34"/>
        <v>10490.108023202731</v>
      </c>
      <c r="BM26" s="55">
        <f t="shared" si="35"/>
        <v>20980.216046405461</v>
      </c>
      <c r="BN26" s="67"/>
      <c r="BO26" s="91"/>
      <c r="BP26" s="91"/>
      <c r="BQ26" s="91"/>
      <c r="BR26" s="92"/>
      <c r="BT26" s="89"/>
      <c r="BU26" s="89"/>
      <c r="BV26" s="89"/>
    </row>
    <row r="27" spans="2:74" x14ac:dyDescent="0.2">
      <c r="B27" s="63" t="s">
        <v>115</v>
      </c>
      <c r="C27" s="64">
        <v>1</v>
      </c>
      <c r="D27" s="65">
        <v>25429</v>
      </c>
      <c r="E27" s="64"/>
      <c r="F27" s="65">
        <v>8391.57</v>
      </c>
      <c r="G27" s="65">
        <v>25429</v>
      </c>
      <c r="H27" s="65">
        <v>25429</v>
      </c>
      <c r="I27" s="65">
        <v>305148</v>
      </c>
      <c r="J27" s="65">
        <v>3941.8591004908681</v>
      </c>
      <c r="K27" s="65">
        <v>744.67984134703181</v>
      </c>
      <c r="L27" s="65">
        <v>4686.5389418379</v>
      </c>
      <c r="M27" s="65">
        <v>46865.389418378996</v>
      </c>
      <c r="N27" s="65">
        <v>12587.355</v>
      </c>
      <c r="O27" s="65">
        <v>12587.355</v>
      </c>
      <c r="P27" s="65">
        <v>10490.108023202731</v>
      </c>
      <c r="Q27" s="65">
        <v>12538.939639999999</v>
      </c>
      <c r="R27" s="65">
        <v>9154.44</v>
      </c>
      <c r="S27" s="65">
        <v>53400.899999999994</v>
      </c>
      <c r="T27" s="65">
        <v>6102.96</v>
      </c>
      <c r="U27" s="65">
        <v>816.33296249999989</v>
      </c>
      <c r="V27" s="65">
        <v>9795.9955499999996</v>
      </c>
      <c r="W27" s="65">
        <v>816.33296249999989</v>
      </c>
      <c r="X27" s="65">
        <v>9795.9955499999996</v>
      </c>
      <c r="Y27" s="65">
        <v>0</v>
      </c>
      <c r="Z27" s="65">
        <v>12714.5</v>
      </c>
      <c r="AA27" s="3"/>
      <c r="AB27" s="42">
        <f t="shared" si="17"/>
        <v>847.63333333333333</v>
      </c>
      <c r="AC27" s="60">
        <f t="shared" si="18"/>
        <v>0</v>
      </c>
      <c r="AD27" s="61">
        <f t="shared" si="19"/>
        <v>847.63333333333333</v>
      </c>
      <c r="AE27" s="61">
        <f t="shared" si="20"/>
        <v>975.35890410958893</v>
      </c>
      <c r="AF27" s="62">
        <f t="shared" si="21"/>
        <v>5620.9853999999996</v>
      </c>
      <c r="AG27" s="62">
        <f t="shared" si="22"/>
        <v>3006.7889500000001</v>
      </c>
      <c r="AH27" s="62">
        <f t="shared" si="23"/>
        <v>1093.3778</v>
      </c>
      <c r="AI27" s="62">
        <f t="shared" si="24"/>
        <v>2817.7874899999997</v>
      </c>
      <c r="AJ27" s="62">
        <f t="shared" si="5"/>
        <v>11445.561839999998</v>
      </c>
      <c r="AK27" s="62">
        <f t="shared" si="6"/>
        <v>1093.3778</v>
      </c>
      <c r="AL27" s="62">
        <f t="shared" si="7"/>
        <v>12538.939639999999</v>
      </c>
      <c r="AN27" s="27">
        <f t="shared" si="25"/>
        <v>4807.1492655600005</v>
      </c>
      <c r="AP27" s="66">
        <f t="shared" si="26"/>
        <v>44600.689418378999</v>
      </c>
      <c r="AQ27" s="55">
        <f t="shared" si="27"/>
        <v>3714.6875570375933</v>
      </c>
      <c r="AR27" s="16">
        <f t="shared" si="36"/>
        <v>30776.353482037593</v>
      </c>
      <c r="AS27" s="55">
        <f t="shared" si="37"/>
        <v>5680.8437789752425</v>
      </c>
      <c r="AT27" s="55">
        <f t="shared" si="38"/>
        <v>4807.1492655600005</v>
      </c>
      <c r="AU27" s="55">
        <f t="shared" si="39"/>
        <v>873.694513415242</v>
      </c>
      <c r="AV27" s="16">
        <f t="shared" si="40"/>
        <v>34491.041039075186</v>
      </c>
      <c r="AW27" s="56">
        <f t="shared" si="41"/>
        <v>0.23520000000000002</v>
      </c>
      <c r="AX27" s="62">
        <f t="shared" si="42"/>
        <v>10490.082151202741</v>
      </c>
      <c r="AY27" s="62">
        <f t="shared" si="43"/>
        <v>10490.082151202741</v>
      </c>
      <c r="AZ27" s="16"/>
      <c r="BA27" s="16">
        <f t="shared" si="44"/>
        <v>75377.042900416593</v>
      </c>
      <c r="BB27" s="55">
        <f t="shared" si="28"/>
        <v>19191.55052813331</v>
      </c>
      <c r="BC27" s="55">
        <f t="shared" si="29"/>
        <v>4807.1492655600005</v>
      </c>
      <c r="BD27" s="55">
        <f t="shared" si="13"/>
        <v>14384.401262573308</v>
      </c>
      <c r="BE27" s="55">
        <f t="shared" si="30"/>
        <v>14384.401262573308</v>
      </c>
      <c r="BF27" s="56"/>
      <c r="BG27" s="62">
        <f t="shared" si="45"/>
        <v>324739.99109999998</v>
      </c>
      <c r="BH27" s="62">
        <f t="shared" si="31"/>
        <v>44600.689418378999</v>
      </c>
      <c r="BI27" s="62">
        <f t="shared" si="46"/>
        <v>369340.68051837897</v>
      </c>
      <c r="BJ27" s="55">
        <f t="shared" si="32"/>
        <v>68175.899209922733</v>
      </c>
      <c r="BK27" s="55">
        <f t="shared" si="33"/>
        <v>57685.791186720002</v>
      </c>
      <c r="BL27" s="55">
        <f t="shared" si="34"/>
        <v>10490.108023202731</v>
      </c>
      <c r="BM27" s="55">
        <f t="shared" si="35"/>
        <v>10490.108023202731</v>
      </c>
      <c r="BN27" s="67"/>
      <c r="BO27" s="91"/>
      <c r="BP27" s="91"/>
      <c r="BQ27" s="91"/>
      <c r="BR27" s="92"/>
      <c r="BT27" s="89"/>
      <c r="BU27" s="89"/>
      <c r="BV27" s="89"/>
    </row>
    <row r="28" spans="2:74" x14ac:dyDescent="0.2">
      <c r="B28" s="63" t="s">
        <v>116</v>
      </c>
      <c r="C28" s="64">
        <v>1</v>
      </c>
      <c r="D28" s="65">
        <v>19561</v>
      </c>
      <c r="E28" s="64"/>
      <c r="F28" s="65">
        <v>6455.13</v>
      </c>
      <c r="G28" s="65">
        <v>19561</v>
      </c>
      <c r="H28" s="65">
        <v>19561</v>
      </c>
      <c r="I28" s="65">
        <v>234732</v>
      </c>
      <c r="J28" s="65">
        <v>3206.0226690011414</v>
      </c>
      <c r="K28" s="65">
        <v>597.89768439497709</v>
      </c>
      <c r="L28" s="65">
        <v>3803.9203533961186</v>
      </c>
      <c r="M28" s="65">
        <v>38039.203533961183</v>
      </c>
      <c r="N28" s="65">
        <v>9682.6949999999997</v>
      </c>
      <c r="O28" s="65">
        <v>9682.6949999999997</v>
      </c>
      <c r="P28" s="65">
        <v>8414.1891031876658</v>
      </c>
      <c r="Q28" s="65">
        <v>10758.642863749437</v>
      </c>
      <c r="R28" s="65">
        <v>7041.9599999999991</v>
      </c>
      <c r="S28" s="65">
        <v>41078.1</v>
      </c>
      <c r="T28" s="65">
        <v>4694.6400000000003</v>
      </c>
      <c r="U28" s="65">
        <v>1224.49944375</v>
      </c>
      <c r="V28" s="65">
        <v>14693.993324999999</v>
      </c>
      <c r="W28" s="65">
        <v>1224.49944375</v>
      </c>
      <c r="X28" s="65">
        <v>14693.993324999999</v>
      </c>
      <c r="Y28" s="65">
        <v>0</v>
      </c>
      <c r="Z28" s="65">
        <v>9780.5</v>
      </c>
      <c r="AA28" s="3"/>
      <c r="AB28" s="42">
        <f t="shared" si="17"/>
        <v>652.0333333333333</v>
      </c>
      <c r="AC28" s="60">
        <f t="shared" si="18"/>
        <v>10.620648125000002</v>
      </c>
      <c r="AD28" s="61">
        <f t="shared" si="19"/>
        <v>662.65398145833331</v>
      </c>
      <c r="AE28" s="61">
        <f t="shared" si="20"/>
        <v>762.50595126712324</v>
      </c>
      <c r="AF28" s="62">
        <f t="shared" si="21"/>
        <v>5620.9853999999996</v>
      </c>
      <c r="AG28" s="62">
        <f t="shared" si="22"/>
        <v>2152.1843443374996</v>
      </c>
      <c r="AH28" s="62">
        <f t="shared" si="23"/>
        <v>782.61248884999986</v>
      </c>
      <c r="AI28" s="62">
        <f t="shared" si="24"/>
        <v>2202.8606305619378</v>
      </c>
      <c r="AJ28" s="62">
        <f t="shared" si="5"/>
        <v>9976.0303748994374</v>
      </c>
      <c r="AK28" s="62">
        <f t="shared" si="6"/>
        <v>782.61248884999986</v>
      </c>
      <c r="AL28" s="62">
        <f t="shared" si="7"/>
        <v>10758.642863749437</v>
      </c>
      <c r="AN28" s="27">
        <f t="shared" si="25"/>
        <v>3618.9971783399997</v>
      </c>
      <c r="AP28" s="66">
        <f t="shared" si="26"/>
        <v>35774.503533961186</v>
      </c>
      <c r="AQ28" s="55">
        <f t="shared" si="27"/>
        <v>2979.5750888559451</v>
      </c>
      <c r="AR28" s="16">
        <f t="shared" si="36"/>
        <v>24989.573976355943</v>
      </c>
      <c r="AS28" s="55">
        <f t="shared" si="37"/>
        <v>4319.7932392389184</v>
      </c>
      <c r="AT28" s="55">
        <f t="shared" si="38"/>
        <v>3618.9971783399997</v>
      </c>
      <c r="AU28" s="55">
        <f t="shared" si="39"/>
        <v>700.79606089891877</v>
      </c>
      <c r="AV28" s="16">
        <f t="shared" si="40"/>
        <v>27969.149065211888</v>
      </c>
      <c r="AW28" s="56">
        <f t="shared" si="41"/>
        <v>0.23520000000000016</v>
      </c>
      <c r="AX28" s="62">
        <f t="shared" si="42"/>
        <v>8414.1632311876765</v>
      </c>
      <c r="AY28" s="62">
        <f t="shared" si="43"/>
        <v>8414.1632311876765</v>
      </c>
      <c r="AZ28" s="16"/>
      <c r="BA28" s="16">
        <f t="shared" si="44"/>
        <v>60764.077510317133</v>
      </c>
      <c r="BB28" s="55">
        <f t="shared" si="28"/>
        <v>14550.121253095138</v>
      </c>
      <c r="BC28" s="55">
        <f t="shared" si="29"/>
        <v>3618.9971783399997</v>
      </c>
      <c r="BD28" s="55">
        <f t="shared" si="13"/>
        <v>10931.124074755138</v>
      </c>
      <c r="BE28" s="55">
        <f t="shared" si="30"/>
        <v>10931.124074755138</v>
      </c>
      <c r="BF28" s="56"/>
      <c r="BG28" s="62">
        <f t="shared" si="45"/>
        <v>264119.98664999998</v>
      </c>
      <c r="BH28" s="62">
        <f t="shared" si="31"/>
        <v>35774.503533961186</v>
      </c>
      <c r="BI28" s="62">
        <f t="shared" si="46"/>
        <v>299894.49018396117</v>
      </c>
      <c r="BJ28" s="55">
        <f t="shared" si="32"/>
        <v>51842.155243267662</v>
      </c>
      <c r="BK28" s="55">
        <f t="shared" si="33"/>
        <v>43427.966140079996</v>
      </c>
      <c r="BL28" s="55">
        <f t="shared" si="34"/>
        <v>8414.1891031876658</v>
      </c>
      <c r="BM28" s="55">
        <f t="shared" si="35"/>
        <v>8414.1891031876658</v>
      </c>
      <c r="BN28" s="67"/>
      <c r="BO28" s="91"/>
      <c r="BP28" s="91"/>
      <c r="BQ28" s="91"/>
      <c r="BR28" s="92"/>
      <c r="BT28" s="89"/>
      <c r="BU28" s="89"/>
      <c r="BV28" s="89"/>
    </row>
    <row r="29" spans="2:74" x14ac:dyDescent="0.2">
      <c r="B29" s="75" t="s">
        <v>91</v>
      </c>
      <c r="C29" s="76">
        <v>16</v>
      </c>
      <c r="D29" s="77">
        <v>711732</v>
      </c>
      <c r="E29" s="76"/>
      <c r="F29" s="77"/>
      <c r="G29" s="77">
        <v>711732</v>
      </c>
      <c r="H29" s="77">
        <v>835318</v>
      </c>
      <c r="I29" s="77">
        <v>10023816</v>
      </c>
      <c r="J29" s="77"/>
      <c r="K29" s="77"/>
      <c r="L29" s="77">
        <v>147712.16744272262</v>
      </c>
      <c r="M29" s="77">
        <v>1477121.674427226</v>
      </c>
      <c r="N29" s="77"/>
      <c r="O29" s="77">
        <v>338366.16000000003</v>
      </c>
      <c r="P29" s="77">
        <v>445563.29177148431</v>
      </c>
      <c r="Q29" s="77">
        <v>259574.35623499943</v>
      </c>
      <c r="R29" s="77">
        <v>300714.48000000004</v>
      </c>
      <c r="S29" s="77">
        <v>1754167.8</v>
      </c>
      <c r="T29" s="77">
        <v>154128.6</v>
      </c>
      <c r="U29" s="77">
        <v>9115.980081249998</v>
      </c>
      <c r="V29" s="77">
        <v>135156.40207499999</v>
      </c>
      <c r="W29" s="77">
        <v>9115.980081249998</v>
      </c>
      <c r="X29" s="77">
        <v>135156.40207499999</v>
      </c>
      <c r="Y29" s="77">
        <v>0</v>
      </c>
      <c r="Z29" s="77">
        <v>122940</v>
      </c>
      <c r="AA29" s="42"/>
      <c r="AB29" s="42"/>
      <c r="AC29" s="60"/>
      <c r="AD29" s="61"/>
      <c r="AE29" s="61"/>
      <c r="AF29" s="62"/>
      <c r="AG29" s="62"/>
      <c r="AH29" s="62"/>
      <c r="AI29" s="62"/>
      <c r="AJ29" s="62"/>
      <c r="AK29" s="62"/>
      <c r="AL29" s="62"/>
      <c r="AN29" s="27"/>
      <c r="AP29" s="55"/>
      <c r="AQ29" s="55"/>
      <c r="AR29" s="16"/>
      <c r="AS29" s="16"/>
      <c r="AT29" s="55"/>
      <c r="AU29" s="55"/>
      <c r="AV29" s="55"/>
      <c r="AW29" s="93"/>
      <c r="AX29" s="62"/>
      <c r="AY29" s="62"/>
      <c r="AZ29" s="16"/>
      <c r="BA29" s="16"/>
      <c r="BB29" s="55"/>
      <c r="BC29" s="55"/>
      <c r="BD29" s="55"/>
      <c r="BE29" s="55">
        <f t="shared" si="30"/>
        <v>0</v>
      </c>
      <c r="BF29" s="56"/>
      <c r="BG29" s="62"/>
      <c r="BH29" s="62"/>
      <c r="BI29" s="62"/>
      <c r="BJ29" s="55"/>
      <c r="BK29" s="55"/>
      <c r="BL29" s="55"/>
      <c r="BM29" s="55"/>
      <c r="BN29" s="67"/>
      <c r="BO29" s="91"/>
      <c r="BP29" s="91"/>
      <c r="BQ29" s="91"/>
      <c r="BR29" s="92"/>
      <c r="BT29" s="89"/>
      <c r="BU29" s="89"/>
      <c r="BV29" s="89"/>
    </row>
    <row r="30" spans="2:74" x14ac:dyDescent="0.2">
      <c r="B30" s="83" t="s">
        <v>117</v>
      </c>
      <c r="C30" s="84"/>
      <c r="D30" s="85"/>
      <c r="E30" s="84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3"/>
      <c r="AB30" s="42"/>
      <c r="AC30" s="60"/>
      <c r="AD30" s="61"/>
      <c r="AE30" s="61"/>
      <c r="AF30" s="62"/>
      <c r="AG30" s="62"/>
      <c r="AH30" s="62"/>
      <c r="AI30" s="62"/>
      <c r="AJ30" s="62"/>
      <c r="AK30" s="62"/>
      <c r="AL30" s="62"/>
      <c r="AN30" s="27"/>
      <c r="AP30" s="55"/>
      <c r="AQ30" s="55"/>
      <c r="AR30" s="16"/>
      <c r="AS30" s="16"/>
      <c r="AT30" s="55"/>
      <c r="AU30" s="55"/>
      <c r="AV30" s="55"/>
      <c r="AW30" s="93"/>
      <c r="AX30" s="62"/>
      <c r="AY30" s="62"/>
      <c r="AZ30" s="16"/>
      <c r="BA30" s="16"/>
      <c r="BB30" s="55"/>
      <c r="BC30" s="55"/>
      <c r="BD30" s="55"/>
      <c r="BE30" s="55">
        <f t="shared" si="30"/>
        <v>0</v>
      </c>
      <c r="BF30" s="56"/>
      <c r="BG30" s="62"/>
      <c r="BH30" s="62"/>
      <c r="BI30" s="62"/>
      <c r="BJ30" s="55"/>
      <c r="BK30" s="55"/>
      <c r="BL30" s="55"/>
      <c r="BM30" s="55"/>
      <c r="BN30" s="67"/>
      <c r="BO30" s="91"/>
      <c r="BP30" s="91"/>
      <c r="BQ30" s="91"/>
      <c r="BR30" s="92"/>
      <c r="BT30" s="89"/>
      <c r="BU30" s="89"/>
      <c r="BV30" s="89"/>
    </row>
    <row r="31" spans="2:74" x14ac:dyDescent="0.2">
      <c r="B31" s="63" t="s">
        <v>118</v>
      </c>
      <c r="C31" s="64">
        <v>1</v>
      </c>
      <c r="D31" s="65">
        <v>19561</v>
      </c>
      <c r="E31" s="64"/>
      <c r="F31" s="65">
        <v>6455.13</v>
      </c>
      <c r="G31" s="65">
        <v>19561</v>
      </c>
      <c r="H31" s="65">
        <v>19561</v>
      </c>
      <c r="I31" s="65">
        <v>234732</v>
      </c>
      <c r="J31" s="65">
        <v>3206.0226690011414</v>
      </c>
      <c r="K31" s="65">
        <v>597.89768439497709</v>
      </c>
      <c r="L31" s="65">
        <v>3803.9203533961186</v>
      </c>
      <c r="M31" s="65">
        <v>38039.203533961183</v>
      </c>
      <c r="N31" s="65">
        <v>9682.6949999999997</v>
      </c>
      <c r="O31" s="65">
        <v>9682.6949999999997</v>
      </c>
      <c r="P31" s="65">
        <v>8414.1891031876658</v>
      </c>
      <c r="Q31" s="65">
        <v>10758.642863749437</v>
      </c>
      <c r="R31" s="65">
        <v>7041.9599999999991</v>
      </c>
      <c r="S31" s="65">
        <v>41078.1</v>
      </c>
      <c r="T31" s="65">
        <v>4694.6400000000003</v>
      </c>
      <c r="U31" s="65">
        <v>1224.49944375</v>
      </c>
      <c r="V31" s="65">
        <v>14693.993324999999</v>
      </c>
      <c r="W31" s="65">
        <v>1224.49944375</v>
      </c>
      <c r="X31" s="65">
        <v>14693.993324999999</v>
      </c>
      <c r="Y31" s="65">
        <v>0</v>
      </c>
      <c r="Z31" s="65">
        <v>9780.5</v>
      </c>
      <c r="AA31" s="3"/>
      <c r="AB31" s="42">
        <f>+G31/30</f>
        <v>652.0333333333333</v>
      </c>
      <c r="AC31" s="60">
        <f>IF(((U31/30)&lt;$AH$4),0,((U31/30)-$AH$4))</f>
        <v>10.620648125000002</v>
      </c>
      <c r="AD31" s="61">
        <f>+AB31+AC31</f>
        <v>662.65398145833331</v>
      </c>
      <c r="AE31" s="61">
        <f>IF((AD31*$AH$3)&gt;$AI$6,$AI$6,(AD31*$AH$3))</f>
        <v>762.50595126712324</v>
      </c>
      <c r="AF31" s="62">
        <f>+$AL$1*$AL$2*$AF$9</f>
        <v>5620.9853999999996</v>
      </c>
      <c r="AG31" s="62">
        <f>+IF(AE31&gt;($AH$6*3),(AE31-($AH$6*3))*$AG$8,0)*$AG$9</f>
        <v>2152.1843443374996</v>
      </c>
      <c r="AH31" s="62">
        <f>+IF(AE31&gt;($AH$6*3),(AE31-($AH$6*3))*$AH$8,0)*$AH$9</f>
        <v>782.61248884999986</v>
      </c>
      <c r="AI31" s="62">
        <f>+(AE31*$AI$9)*$AI$8</f>
        <v>2202.8606305619378</v>
      </c>
      <c r="AJ31" s="62">
        <f t="shared" si="5"/>
        <v>9976.0303748994374</v>
      </c>
      <c r="AK31" s="62">
        <f t="shared" si="6"/>
        <v>782.61248884999986</v>
      </c>
      <c r="AL31" s="62">
        <f t="shared" si="7"/>
        <v>10758.642863749437</v>
      </c>
      <c r="AN31" s="27">
        <f>+AT31*C31</f>
        <v>3618.9971783399997</v>
      </c>
      <c r="AP31" s="66">
        <f>+((M31/C31)-($AL$2*30))</f>
        <v>35774.503533961186</v>
      </c>
      <c r="AQ31" s="55">
        <f t="shared" ref="AQ31" si="47">+AP31/365*30.4</f>
        <v>2979.5750888559451</v>
      </c>
      <c r="AR31" s="16">
        <f>+G31+U31+W31+AQ31</f>
        <v>24989.573976355943</v>
      </c>
      <c r="AS31" s="55">
        <f>((AR31-VLOOKUP(AR31,$BO$17:$BR$39,1))*VLOOKUP(AR31,$BO$17:$BR$39,4)+VLOOKUP(AR31,$BO$17:$BR$39,3))-VLOOKUP(AR31,$BT$17:$BV$39,3)</f>
        <v>4319.7932392389184</v>
      </c>
      <c r="AT31" s="55">
        <f>(((G31+U31+W31)-VLOOKUP((G31+U31+W31),$BO$17:$BR$39,1))*VLOOKUP((G31+U31+W31),$BO$17:$BR$39,4)+VLOOKUP((G31+U31+W31),$BO$17:$BR$39,3))-VLOOKUP((G31+U31+W31),$BT$17:$BV$39,3)</f>
        <v>3618.9971783399997</v>
      </c>
      <c r="AU31" s="55">
        <f>+AS31-AT31</f>
        <v>700.79606089891877</v>
      </c>
      <c r="AV31" s="16">
        <f>+AR31+AQ31</f>
        <v>27969.149065211888</v>
      </c>
      <c r="AW31" s="56">
        <f>+(AU31/AQ31)</f>
        <v>0.23520000000000016</v>
      </c>
      <c r="AX31" s="62">
        <f>+AP31*AW31</f>
        <v>8414.1632311876765</v>
      </c>
      <c r="AY31" s="62">
        <f>+AX31*C31</f>
        <v>8414.1632311876765</v>
      </c>
      <c r="AZ31" s="16"/>
      <c r="BA31" s="16">
        <f>+AP31+AR31</f>
        <v>60764.077510317133</v>
      </c>
      <c r="BB31" s="55">
        <f>((BA31-VLOOKUP(BA31,$BO$17:$BR$39,1))*VLOOKUP(BA31,$BO$17:$BR$39,4)+VLOOKUP(BA31,$BO$17:$BR$39,3))-VLOOKUP(BA31,$BT$17:$BV$39,3)</f>
        <v>14550.121253095138</v>
      </c>
      <c r="BC31" s="55">
        <f>+AT31</f>
        <v>3618.9971783399997</v>
      </c>
      <c r="BD31" s="55">
        <f t="shared" si="13"/>
        <v>10931.124074755138</v>
      </c>
      <c r="BE31" s="55">
        <f t="shared" si="30"/>
        <v>10931.124074755138</v>
      </c>
      <c r="BF31" s="56"/>
      <c r="BG31" s="62">
        <f>+(G31+U31+W31)*12</f>
        <v>264119.98664999998</v>
      </c>
      <c r="BH31" s="62">
        <f>+AP31</f>
        <v>35774.503533961186</v>
      </c>
      <c r="BI31" s="62">
        <f t="shared" si="46"/>
        <v>299894.49018396117</v>
      </c>
      <c r="BJ31" s="55">
        <f>((BI31-VLOOKUP(BI31,$BO$45:$BR$61,1))*VLOOKUP(BI31,$BO$45:$BR$61,4)+VLOOKUP(BI31,$BO$45:$BR$61,3))</f>
        <v>51842.155243267662</v>
      </c>
      <c r="BK31" s="55">
        <f>+AT31*12</f>
        <v>43427.966140079996</v>
      </c>
      <c r="BL31" s="55">
        <f>+BJ31-BK31</f>
        <v>8414.1891031876658</v>
      </c>
      <c r="BM31" s="55">
        <f>+BL31*C31</f>
        <v>8414.1891031876658</v>
      </c>
      <c r="BN31" s="67"/>
      <c r="BO31" s="91"/>
      <c r="BP31" s="91"/>
      <c r="BQ31" s="91"/>
      <c r="BR31" s="92"/>
      <c r="BT31" s="89"/>
      <c r="BU31" s="89"/>
      <c r="BV31" s="89"/>
    </row>
    <row r="32" spans="2:74" x14ac:dyDescent="0.2">
      <c r="B32" s="75" t="s">
        <v>91</v>
      </c>
      <c r="C32" s="76">
        <v>1</v>
      </c>
      <c r="D32" s="77">
        <v>19561</v>
      </c>
      <c r="E32" s="76"/>
      <c r="F32" s="77"/>
      <c r="G32" s="77">
        <v>19561</v>
      </c>
      <c r="H32" s="77">
        <v>19561</v>
      </c>
      <c r="I32" s="77">
        <v>234732</v>
      </c>
      <c r="J32" s="77"/>
      <c r="K32" s="77"/>
      <c r="L32" s="77">
        <v>3803.9203533961186</v>
      </c>
      <c r="M32" s="77">
        <v>38039.203533961183</v>
      </c>
      <c r="N32" s="77"/>
      <c r="O32" s="77">
        <v>9682.6949999999997</v>
      </c>
      <c r="P32" s="77">
        <v>8414.1891031876658</v>
      </c>
      <c r="Q32" s="77">
        <v>10758.642863749437</v>
      </c>
      <c r="R32" s="77">
        <v>7041.9599999999991</v>
      </c>
      <c r="S32" s="77">
        <v>41078.1</v>
      </c>
      <c r="T32" s="77">
        <v>4694.6400000000003</v>
      </c>
      <c r="U32" s="77">
        <v>1224.49944375</v>
      </c>
      <c r="V32" s="77">
        <v>14693.993324999999</v>
      </c>
      <c r="W32" s="77">
        <v>1224.49944375</v>
      </c>
      <c r="X32" s="77">
        <v>14693.993324999999</v>
      </c>
      <c r="Y32" s="77">
        <v>0</v>
      </c>
      <c r="Z32" s="77">
        <v>9780.5</v>
      </c>
      <c r="AA32" s="42"/>
      <c r="AB32" s="42"/>
      <c r="AC32" s="60"/>
      <c r="AD32" s="61"/>
      <c r="AE32" s="61"/>
      <c r="AF32" s="62"/>
      <c r="AG32" s="62"/>
      <c r="AH32" s="62"/>
      <c r="AI32" s="62"/>
      <c r="AJ32" s="62"/>
      <c r="AK32" s="62"/>
      <c r="AL32" s="62"/>
      <c r="AN32" s="27"/>
      <c r="AP32" s="55"/>
      <c r="AQ32" s="55"/>
      <c r="AR32" s="16"/>
      <c r="AS32" s="16"/>
      <c r="AT32" s="55"/>
      <c r="AU32" s="55"/>
      <c r="AV32" s="55"/>
      <c r="AW32" s="93"/>
      <c r="AX32" s="62"/>
      <c r="AY32" s="62"/>
      <c r="AZ32" s="16"/>
      <c r="BA32" s="16"/>
      <c r="BB32" s="55"/>
      <c r="BC32" s="55"/>
      <c r="BD32" s="55"/>
      <c r="BE32" s="55">
        <f t="shared" si="30"/>
        <v>0</v>
      </c>
      <c r="BF32" s="56"/>
      <c r="BG32" s="62"/>
      <c r="BH32" s="62"/>
      <c r="BI32" s="62"/>
      <c r="BJ32" s="55"/>
      <c r="BK32" s="55"/>
      <c r="BL32" s="55"/>
      <c r="BM32" s="55"/>
      <c r="BN32" s="67"/>
      <c r="BO32" s="91"/>
      <c r="BP32" s="91"/>
      <c r="BQ32" s="91"/>
      <c r="BR32" s="92"/>
      <c r="BT32" s="89"/>
      <c r="BU32" s="89"/>
      <c r="BV32" s="89"/>
    </row>
    <row r="33" spans="2:74" x14ac:dyDescent="0.2">
      <c r="B33" s="94" t="s">
        <v>119</v>
      </c>
      <c r="C33" s="84"/>
      <c r="D33" s="85"/>
      <c r="E33" s="84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3"/>
      <c r="AB33" s="42"/>
      <c r="AC33" s="60"/>
      <c r="AD33" s="61"/>
      <c r="AE33" s="61"/>
      <c r="AF33" s="62"/>
      <c r="AG33" s="62"/>
      <c r="AH33" s="62"/>
      <c r="AI33" s="62"/>
      <c r="AJ33" s="62"/>
      <c r="AK33" s="62"/>
      <c r="AL33" s="62"/>
      <c r="AN33" s="27"/>
      <c r="AP33" s="55"/>
      <c r="AQ33" s="55"/>
      <c r="AR33" s="16"/>
      <c r="AS33" s="16"/>
      <c r="AT33" s="55"/>
      <c r="AU33" s="55"/>
      <c r="AV33" s="55"/>
      <c r="AW33" s="93"/>
      <c r="AX33" s="62"/>
      <c r="AY33" s="62"/>
      <c r="AZ33" s="16"/>
      <c r="BA33" s="16"/>
      <c r="BB33" s="55"/>
      <c r="BC33" s="55"/>
      <c r="BD33" s="55"/>
      <c r="BE33" s="55">
        <f t="shared" si="30"/>
        <v>0</v>
      </c>
      <c r="BF33" s="56"/>
      <c r="BG33" s="62"/>
      <c r="BH33" s="62"/>
      <c r="BI33" s="62"/>
      <c r="BJ33" s="55"/>
      <c r="BK33" s="55"/>
      <c r="BL33" s="55"/>
      <c r="BM33" s="55"/>
      <c r="BN33" s="67"/>
      <c r="BO33" s="91"/>
      <c r="BP33" s="91"/>
      <c r="BQ33" s="91"/>
      <c r="BR33" s="92"/>
      <c r="BT33" s="89"/>
      <c r="BU33" s="89"/>
      <c r="BV33" s="89"/>
    </row>
    <row r="34" spans="2:74" x14ac:dyDescent="0.2">
      <c r="B34" s="95" t="s">
        <v>120</v>
      </c>
      <c r="C34" s="64">
        <v>1</v>
      </c>
      <c r="D34" s="65">
        <v>92000</v>
      </c>
      <c r="E34" s="64"/>
      <c r="F34" s="65">
        <v>30360</v>
      </c>
      <c r="G34" s="65">
        <v>92000</v>
      </c>
      <c r="H34" s="65">
        <v>92000</v>
      </c>
      <c r="I34" s="65">
        <v>1104000</v>
      </c>
      <c r="J34" s="65">
        <v>13527.639269406392</v>
      </c>
      <c r="K34" s="65">
        <v>2588.3926940639271</v>
      </c>
      <c r="L34" s="65">
        <v>16116.031963470319</v>
      </c>
      <c r="M34" s="65">
        <v>161160.31963470319</v>
      </c>
      <c r="N34" s="65">
        <v>45540</v>
      </c>
      <c r="O34" s="65">
        <v>45540</v>
      </c>
      <c r="P34" s="65">
        <v>54024.548075799132</v>
      </c>
      <c r="Q34" s="65">
        <v>20165.973968749997</v>
      </c>
      <c r="R34" s="65">
        <v>33120</v>
      </c>
      <c r="S34" s="65">
        <v>193199.99999999997</v>
      </c>
      <c r="T34" s="65">
        <v>13250.884608</v>
      </c>
      <c r="U34" s="65">
        <v>435</v>
      </c>
      <c r="V34" s="65">
        <v>5220</v>
      </c>
      <c r="W34" s="65">
        <v>435</v>
      </c>
      <c r="X34" s="65">
        <v>5220</v>
      </c>
      <c r="Y34" s="65">
        <v>0</v>
      </c>
      <c r="Z34" s="65"/>
      <c r="AA34" s="3"/>
      <c r="AB34" s="42">
        <f t="shared" ref="AB34:AB40" si="48">+G34/30</f>
        <v>3066.6666666666665</v>
      </c>
      <c r="AC34" s="60">
        <f t="shared" ref="AC34:AC40" si="49">IF(((U34/30)&lt;$AH$4),0,((U34/30)-$AH$4))</f>
        <v>0</v>
      </c>
      <c r="AD34" s="61">
        <f t="shared" ref="AD34:AD40" si="50">+AB34+AC34</f>
        <v>3066.6666666666665</v>
      </c>
      <c r="AE34" s="61">
        <f t="shared" ref="AE34:AE40" si="51">IF((AD34*$AH$3)&gt;$AI$6,$AI$6,(AD34*$AH$3))</f>
        <v>1887.2499999999998</v>
      </c>
      <c r="AF34" s="62">
        <f t="shared" ref="AF34:AF40" si="52">+$AL$1*$AL$2*$AF$9</f>
        <v>5620.9853999999996</v>
      </c>
      <c r="AG34" s="62">
        <f t="shared" ref="AG34:AG40" si="53">+IF(AE34&gt;($AH$6*3),(AE34-($AH$6*3))*$AG$8,0)*$AG$9</f>
        <v>6668.0316999999986</v>
      </c>
      <c r="AH34" s="62">
        <f t="shared" ref="AH34:AH40" si="54">+IF(AE34&gt;($AH$6*3),(AE34-($AH$6*3))*$AH$8,0)*$AH$9</f>
        <v>2424.7387999999996</v>
      </c>
      <c r="AI34" s="62">
        <f t="shared" ref="AI34:AI40" si="55">+(AE34*$AI$9)*$AI$8</f>
        <v>5452.2180687499995</v>
      </c>
      <c r="AJ34" s="62">
        <f t="shared" si="5"/>
        <v>17741.235168749998</v>
      </c>
      <c r="AK34" s="62">
        <f t="shared" si="6"/>
        <v>2424.7387999999996</v>
      </c>
      <c r="AL34" s="62">
        <f t="shared" si="7"/>
        <v>20165.973968749997</v>
      </c>
      <c r="AN34" s="27">
        <f t="shared" ref="AN34:AN40" si="56">+AT34*C34</f>
        <v>24980.0344</v>
      </c>
      <c r="AP34" s="66">
        <f t="shared" ref="AP34:AP40" si="57">+((M34/C34)-($AL$2*30))</f>
        <v>158895.61963470318</v>
      </c>
      <c r="AQ34" s="55">
        <f t="shared" ref="AQ34:AQ40" si="58">+AP34/365*30.4</f>
        <v>13234.046128479389</v>
      </c>
      <c r="AR34" s="16">
        <f t="shared" ref="AR34:AR40" si="59">+G34+U34+W34+AQ34</f>
        <v>106104.04612847939</v>
      </c>
      <c r="AS34" s="55">
        <f t="shared" ref="AS34:AS40" si="60">((AR34-VLOOKUP(AR34,$BO$17:$BR$39,1))*VLOOKUP(AR34,$BO$17:$BR$39,4)+VLOOKUP(AR34,$BO$17:$BR$39,3))-VLOOKUP(AR34,$BT$17:$BV$39,3)</f>
        <v>29479.610083682994</v>
      </c>
      <c r="AT34" s="55">
        <f t="shared" ref="AT34:AT40" si="61">(((G34+U34+W34)-VLOOKUP((G34+U34+W34),$BO$17:$BR$39,1))*VLOOKUP((G34+U34+W34),$BO$17:$BR$39,4)+VLOOKUP((G34+U34+W34),$BO$17:$BR$39,3))-VLOOKUP((G34+U34+W34),$BT$17:$BV$39,3)</f>
        <v>24980.0344</v>
      </c>
      <c r="AU34" s="55">
        <f t="shared" ref="AU34:AU40" si="62">+AS34-AT34</f>
        <v>4499.5756836829933</v>
      </c>
      <c r="AV34" s="16">
        <f t="shared" ref="AV34:AV40" si="63">+AR34+AQ34</f>
        <v>119338.09225695877</v>
      </c>
      <c r="AW34" s="56">
        <f t="shared" ref="AW34:AW40" si="64">+(AU34/AQ34)</f>
        <v>0.34000000000000008</v>
      </c>
      <c r="AX34" s="62">
        <f t="shared" ref="AX34:AX40" si="65">+AP34*AW34</f>
        <v>54024.510675799094</v>
      </c>
      <c r="AY34" s="62">
        <f t="shared" ref="AY34:AY40" si="66">+AX34*C34</f>
        <v>54024.510675799094</v>
      </c>
      <c r="AZ34" s="16"/>
      <c r="BA34" s="16">
        <f t="shared" ref="BA34:BA40" si="67">+AP34+AR34</f>
        <v>264999.66576318257</v>
      </c>
      <c r="BB34" s="55">
        <f t="shared" ref="BB34:BB40" si="68">((BA34-VLOOKUP(BA34,$BO$17:$BR$39,1))*VLOOKUP(BA34,$BO$17:$BR$39,4)+VLOOKUP(BA34,$BO$17:$BR$39,3))-VLOOKUP(BA34,$BT$17:$BV$39,3)</f>
        <v>83654.109517113888</v>
      </c>
      <c r="BC34" s="55">
        <f t="shared" ref="BC34:BC40" si="69">+AT34</f>
        <v>24980.0344</v>
      </c>
      <c r="BD34" s="55">
        <f t="shared" si="13"/>
        <v>58674.075117113884</v>
      </c>
      <c r="BE34" s="55">
        <f t="shared" si="30"/>
        <v>58674.075117113884</v>
      </c>
      <c r="BF34" s="56"/>
      <c r="BG34" s="62">
        <f t="shared" ref="BG34:BG40" si="70">+(G34+U34+W34)*12</f>
        <v>1114440</v>
      </c>
      <c r="BH34" s="62">
        <f t="shared" ref="BH34:BH40" si="71">+AP34</f>
        <v>158895.61963470318</v>
      </c>
      <c r="BI34" s="62">
        <f t="shared" si="46"/>
        <v>1273335.6196347033</v>
      </c>
      <c r="BJ34" s="55">
        <f t="shared" ref="BJ34:BJ40" si="72">((BI34-VLOOKUP(BI34,$BO$45:$BR$61,1))*VLOOKUP(BI34,$BO$45:$BR$61,4)+VLOOKUP(BI34,$BO$45:$BR$61,3))</f>
        <v>353784.96087579912</v>
      </c>
      <c r="BK34" s="55">
        <f t="shared" ref="BK34:BK40" si="73">+AT34*12</f>
        <v>299760.41279999999</v>
      </c>
      <c r="BL34" s="55">
        <f t="shared" ref="BL34:BL40" si="74">+BJ34-BK34</f>
        <v>54024.548075799132</v>
      </c>
      <c r="BM34" s="55">
        <f t="shared" ref="BM34:BM40" si="75">+BL34*C34</f>
        <v>54024.548075799132</v>
      </c>
      <c r="BN34" s="67"/>
      <c r="BO34" s="89">
        <v>10298.36</v>
      </c>
      <c r="BP34" s="89">
        <v>20770.29</v>
      </c>
      <c r="BQ34" s="89">
        <v>1090.6099999999999</v>
      </c>
      <c r="BR34" s="90">
        <v>0.21360000000000001</v>
      </c>
      <c r="BT34" s="89">
        <v>4446.16</v>
      </c>
      <c r="BU34" s="89">
        <v>4717.18</v>
      </c>
      <c r="BV34" s="89">
        <v>354.23</v>
      </c>
    </row>
    <row r="35" spans="2:74" x14ac:dyDescent="0.2">
      <c r="B35" s="96" t="s">
        <v>121</v>
      </c>
      <c r="C35" s="64">
        <v>2</v>
      </c>
      <c r="D35" s="65">
        <v>33058</v>
      </c>
      <c r="E35" s="64"/>
      <c r="F35" s="65">
        <v>10909.140000000001</v>
      </c>
      <c r="G35" s="65">
        <v>33058</v>
      </c>
      <c r="H35" s="65">
        <v>66116</v>
      </c>
      <c r="I35" s="65">
        <v>793392</v>
      </c>
      <c r="J35" s="65">
        <v>5022.0955847031955</v>
      </c>
      <c r="K35" s="65">
        <v>953.33108538812769</v>
      </c>
      <c r="L35" s="65">
        <v>11950.853340182646</v>
      </c>
      <c r="M35" s="65">
        <v>119508.53340182645</v>
      </c>
      <c r="N35" s="65">
        <v>16363.710000000003</v>
      </c>
      <c r="O35" s="65">
        <v>32727.420000000006</v>
      </c>
      <c r="P35" s="65">
        <v>34493.806020547927</v>
      </c>
      <c r="Q35" s="65">
        <v>29972.798260000003</v>
      </c>
      <c r="R35" s="65">
        <v>23801.760000000002</v>
      </c>
      <c r="S35" s="65">
        <v>138843.59999999998</v>
      </c>
      <c r="T35" s="65">
        <v>17127.552</v>
      </c>
      <c r="U35" s="65">
        <v>709.85474999999997</v>
      </c>
      <c r="V35" s="65">
        <v>17036.513999999999</v>
      </c>
      <c r="W35" s="65">
        <v>709.85474999999997</v>
      </c>
      <c r="X35" s="65">
        <v>17036.513999999999</v>
      </c>
      <c r="Y35" s="65">
        <v>0</v>
      </c>
      <c r="Z35" s="65">
        <v>33058</v>
      </c>
      <c r="AA35" s="3"/>
      <c r="AB35" s="42">
        <f t="shared" si="48"/>
        <v>1101.9333333333334</v>
      </c>
      <c r="AC35" s="60">
        <f t="shared" si="49"/>
        <v>0</v>
      </c>
      <c r="AD35" s="61">
        <f t="shared" si="50"/>
        <v>1101.9333333333334</v>
      </c>
      <c r="AE35" s="61">
        <f t="shared" si="51"/>
        <v>1267.9780821917809</v>
      </c>
      <c r="AF35" s="62">
        <f t="shared" si="52"/>
        <v>5620.9853999999996</v>
      </c>
      <c r="AG35" s="62">
        <f t="shared" si="53"/>
        <v>4181.6549500000001</v>
      </c>
      <c r="AH35" s="62">
        <f t="shared" si="54"/>
        <v>1520.6017999999999</v>
      </c>
      <c r="AI35" s="62">
        <f t="shared" si="55"/>
        <v>3663.1569800000007</v>
      </c>
      <c r="AJ35" s="62">
        <f t="shared" si="5"/>
        <v>13465.797330000001</v>
      </c>
      <c r="AK35" s="62">
        <f t="shared" si="6"/>
        <v>1520.6017999999999</v>
      </c>
      <c r="AL35" s="62">
        <f t="shared" si="7"/>
        <v>14986.399130000002</v>
      </c>
      <c r="AN35" s="27">
        <f t="shared" si="56"/>
        <v>13328.421699999997</v>
      </c>
      <c r="AP35" s="66">
        <f t="shared" si="57"/>
        <v>57489.56670091323</v>
      </c>
      <c r="AQ35" s="55">
        <f t="shared" si="58"/>
        <v>4788.1721307061971</v>
      </c>
      <c r="AR35" s="16">
        <f t="shared" si="59"/>
        <v>39265.881630706193</v>
      </c>
      <c r="AS35" s="55">
        <f t="shared" si="60"/>
        <v>8100.662489211858</v>
      </c>
      <c r="AT35" s="55">
        <f t="shared" si="61"/>
        <v>6664.2108499999986</v>
      </c>
      <c r="AU35" s="55">
        <f t="shared" si="62"/>
        <v>1436.4516392118594</v>
      </c>
      <c r="AV35" s="16">
        <f t="shared" si="63"/>
        <v>44054.05376141239</v>
      </c>
      <c r="AW35" s="56">
        <f t="shared" si="64"/>
        <v>0.30000000000000004</v>
      </c>
      <c r="AX35" s="62">
        <f t="shared" si="65"/>
        <v>17246.870010273971</v>
      </c>
      <c r="AY35" s="62">
        <f t="shared" si="66"/>
        <v>34493.740020547943</v>
      </c>
      <c r="AZ35" s="16"/>
      <c r="BA35" s="16">
        <f t="shared" si="67"/>
        <v>96755.448331619424</v>
      </c>
      <c r="BB35" s="55">
        <f t="shared" si="68"/>
        <v>26301.086832750603</v>
      </c>
      <c r="BC35" s="55">
        <f t="shared" si="69"/>
        <v>6664.2108499999986</v>
      </c>
      <c r="BD35" s="55">
        <f t="shared" si="13"/>
        <v>19636.875982750604</v>
      </c>
      <c r="BE35" s="55">
        <f t="shared" si="30"/>
        <v>39273.751965501207</v>
      </c>
      <c r="BF35" s="56"/>
      <c r="BG35" s="62">
        <f t="shared" si="70"/>
        <v>413732.51399999997</v>
      </c>
      <c r="BH35" s="62">
        <f t="shared" si="71"/>
        <v>57489.56670091323</v>
      </c>
      <c r="BI35" s="62">
        <f t="shared" si="46"/>
        <v>471222.08070091321</v>
      </c>
      <c r="BJ35" s="55">
        <f t="shared" si="72"/>
        <v>97217.433210273943</v>
      </c>
      <c r="BK35" s="55">
        <f t="shared" si="73"/>
        <v>79970.530199999979</v>
      </c>
      <c r="BL35" s="55">
        <f t="shared" si="74"/>
        <v>17246.903010273963</v>
      </c>
      <c r="BM35" s="55">
        <f t="shared" si="75"/>
        <v>34493.806020547927</v>
      </c>
      <c r="BN35" s="67"/>
      <c r="BO35" s="89">
        <v>20770.3</v>
      </c>
      <c r="BP35" s="89">
        <v>32736.83</v>
      </c>
      <c r="BQ35" s="89">
        <v>3327.42</v>
      </c>
      <c r="BR35" s="90">
        <v>0.23519999999999999</v>
      </c>
      <c r="BT35" s="89">
        <v>4717.1899999999996</v>
      </c>
      <c r="BU35" s="89">
        <v>5335.42</v>
      </c>
      <c r="BV35" s="89">
        <v>324.87</v>
      </c>
    </row>
    <row r="36" spans="2:74" x14ac:dyDescent="0.2">
      <c r="B36" s="95" t="s">
        <v>122</v>
      </c>
      <c r="C36" s="64">
        <v>1</v>
      </c>
      <c r="D36" s="65">
        <v>33058</v>
      </c>
      <c r="E36" s="64"/>
      <c r="F36" s="65">
        <v>10909.140000000001</v>
      </c>
      <c r="G36" s="65">
        <v>33058</v>
      </c>
      <c r="H36" s="65">
        <v>33058</v>
      </c>
      <c r="I36" s="65">
        <v>396696</v>
      </c>
      <c r="J36" s="65">
        <v>5022.0955847031955</v>
      </c>
      <c r="K36" s="65">
        <v>953.33108538812769</v>
      </c>
      <c r="L36" s="65">
        <v>5975.4266700913231</v>
      </c>
      <c r="M36" s="65">
        <v>59754.266700913227</v>
      </c>
      <c r="N36" s="65">
        <v>16363.710000000003</v>
      </c>
      <c r="O36" s="65">
        <v>16363.710000000003</v>
      </c>
      <c r="P36" s="65">
        <v>17246.903010273963</v>
      </c>
      <c r="Q36" s="65">
        <v>14986.399130000002</v>
      </c>
      <c r="R36" s="65">
        <v>11900.880000000001</v>
      </c>
      <c r="S36" s="65">
        <v>69421.799999999988</v>
      </c>
      <c r="T36" s="65">
        <v>8563.7759999999998</v>
      </c>
      <c r="U36" s="65">
        <v>709.85474999999997</v>
      </c>
      <c r="V36" s="65">
        <v>8518.2569999999996</v>
      </c>
      <c r="W36" s="65">
        <v>709.85474999999997</v>
      </c>
      <c r="X36" s="65">
        <v>8518.2569999999996</v>
      </c>
      <c r="Y36" s="65">
        <v>0</v>
      </c>
      <c r="Z36" s="65">
        <v>16529</v>
      </c>
      <c r="AA36" s="3"/>
      <c r="AB36" s="42">
        <f t="shared" si="48"/>
        <v>1101.9333333333334</v>
      </c>
      <c r="AC36" s="60">
        <f t="shared" si="49"/>
        <v>0</v>
      </c>
      <c r="AD36" s="61">
        <f t="shared" si="50"/>
        <v>1101.9333333333334</v>
      </c>
      <c r="AE36" s="61">
        <f t="shared" si="51"/>
        <v>1267.9780821917809</v>
      </c>
      <c r="AF36" s="62">
        <f t="shared" si="52"/>
        <v>5620.9853999999996</v>
      </c>
      <c r="AG36" s="62">
        <f t="shared" si="53"/>
        <v>4181.6549500000001</v>
      </c>
      <c r="AH36" s="62">
        <f t="shared" si="54"/>
        <v>1520.6017999999999</v>
      </c>
      <c r="AI36" s="62">
        <f t="shared" si="55"/>
        <v>3663.1569800000007</v>
      </c>
      <c r="AJ36" s="62">
        <f t="shared" si="5"/>
        <v>13465.797330000001</v>
      </c>
      <c r="AK36" s="62">
        <f t="shared" si="6"/>
        <v>1520.6017999999999</v>
      </c>
      <c r="AL36" s="62">
        <f t="shared" si="7"/>
        <v>14986.399130000002</v>
      </c>
      <c r="AN36" s="27">
        <f t="shared" si="56"/>
        <v>6664.2108499999986</v>
      </c>
      <c r="AP36" s="66">
        <f t="shared" si="57"/>
        <v>57489.56670091323</v>
      </c>
      <c r="AQ36" s="55">
        <f t="shared" si="58"/>
        <v>4788.1721307061971</v>
      </c>
      <c r="AR36" s="16">
        <f t="shared" si="59"/>
        <v>39265.881630706193</v>
      </c>
      <c r="AS36" s="55">
        <f t="shared" si="60"/>
        <v>8100.662489211858</v>
      </c>
      <c r="AT36" s="55">
        <f t="shared" si="61"/>
        <v>6664.2108499999986</v>
      </c>
      <c r="AU36" s="55">
        <f t="shared" si="62"/>
        <v>1436.4516392118594</v>
      </c>
      <c r="AV36" s="16">
        <f t="shared" si="63"/>
        <v>44054.05376141239</v>
      </c>
      <c r="AW36" s="56">
        <f t="shared" si="64"/>
        <v>0.30000000000000004</v>
      </c>
      <c r="AX36" s="62">
        <f t="shared" si="65"/>
        <v>17246.870010273971</v>
      </c>
      <c r="AY36" s="62">
        <f t="shared" si="66"/>
        <v>17246.870010273971</v>
      </c>
      <c r="AZ36" s="16"/>
      <c r="BA36" s="16">
        <f t="shared" si="67"/>
        <v>96755.448331619424</v>
      </c>
      <c r="BB36" s="55">
        <f t="shared" si="68"/>
        <v>26301.086832750603</v>
      </c>
      <c r="BC36" s="55">
        <f t="shared" si="69"/>
        <v>6664.2108499999986</v>
      </c>
      <c r="BD36" s="55">
        <f t="shared" si="13"/>
        <v>19636.875982750604</v>
      </c>
      <c r="BE36" s="55">
        <f t="shared" si="30"/>
        <v>19636.875982750604</v>
      </c>
      <c r="BF36" s="56"/>
      <c r="BG36" s="62">
        <f t="shared" si="70"/>
        <v>413732.51399999997</v>
      </c>
      <c r="BH36" s="62">
        <f t="shared" si="71"/>
        <v>57489.56670091323</v>
      </c>
      <c r="BI36" s="62">
        <f t="shared" si="46"/>
        <v>471222.08070091321</v>
      </c>
      <c r="BJ36" s="55">
        <f t="shared" si="72"/>
        <v>97217.433210273943</v>
      </c>
      <c r="BK36" s="55">
        <f t="shared" si="73"/>
        <v>79970.530199999979</v>
      </c>
      <c r="BL36" s="55">
        <f t="shared" si="74"/>
        <v>17246.903010273963</v>
      </c>
      <c r="BM36" s="55">
        <f t="shared" si="75"/>
        <v>17246.903010273963</v>
      </c>
      <c r="BN36" s="67"/>
      <c r="BO36" s="89">
        <v>32736.84</v>
      </c>
      <c r="BP36" s="89">
        <v>62500</v>
      </c>
      <c r="BQ36" s="89">
        <v>6141.95</v>
      </c>
      <c r="BR36" s="90">
        <v>0.3</v>
      </c>
      <c r="BT36" s="89">
        <v>5335.43</v>
      </c>
      <c r="BU36" s="89">
        <v>6224.67</v>
      </c>
      <c r="BV36" s="89">
        <v>294.63</v>
      </c>
    </row>
    <row r="37" spans="2:74" x14ac:dyDescent="0.2">
      <c r="B37" s="95" t="s">
        <v>123</v>
      </c>
      <c r="C37" s="64">
        <v>2</v>
      </c>
      <c r="D37" s="65">
        <v>25429</v>
      </c>
      <c r="E37" s="64"/>
      <c r="F37" s="65">
        <v>8391.57</v>
      </c>
      <c r="G37" s="65">
        <v>25429</v>
      </c>
      <c r="H37" s="65">
        <v>50858</v>
      </c>
      <c r="I37" s="65">
        <v>610296</v>
      </c>
      <c r="J37" s="65">
        <v>3941.8591004908681</v>
      </c>
      <c r="K37" s="65">
        <v>744.67984134703181</v>
      </c>
      <c r="L37" s="65">
        <v>9373.0778836758</v>
      </c>
      <c r="M37" s="65">
        <v>93730.778836757992</v>
      </c>
      <c r="N37" s="65">
        <v>12587.355</v>
      </c>
      <c r="O37" s="65">
        <v>25174.71</v>
      </c>
      <c r="P37" s="65">
        <v>20980.216046405461</v>
      </c>
      <c r="Q37" s="65">
        <v>25077.879279999997</v>
      </c>
      <c r="R37" s="65">
        <v>18308.88</v>
      </c>
      <c r="S37" s="65">
        <v>106801.79999999999</v>
      </c>
      <c r="T37" s="65">
        <v>8563.7759999999998</v>
      </c>
      <c r="U37" s="65">
        <v>816.33296249999989</v>
      </c>
      <c r="V37" s="65">
        <v>19591.991099999999</v>
      </c>
      <c r="W37" s="65">
        <v>816.33296249999989</v>
      </c>
      <c r="X37" s="65">
        <v>19591.991099999999</v>
      </c>
      <c r="Y37" s="65">
        <v>0</v>
      </c>
      <c r="Z37" s="65">
        <v>25429</v>
      </c>
      <c r="AA37" s="3"/>
      <c r="AB37" s="42">
        <f t="shared" si="48"/>
        <v>847.63333333333333</v>
      </c>
      <c r="AC37" s="60">
        <f t="shared" si="49"/>
        <v>0</v>
      </c>
      <c r="AD37" s="61">
        <f t="shared" si="50"/>
        <v>847.63333333333333</v>
      </c>
      <c r="AE37" s="61">
        <f t="shared" si="51"/>
        <v>975.35890410958893</v>
      </c>
      <c r="AF37" s="62">
        <f t="shared" si="52"/>
        <v>5620.9853999999996</v>
      </c>
      <c r="AG37" s="62">
        <f t="shared" si="53"/>
        <v>3006.7889500000001</v>
      </c>
      <c r="AH37" s="62">
        <f t="shared" si="54"/>
        <v>1093.3778</v>
      </c>
      <c r="AI37" s="62">
        <f t="shared" si="55"/>
        <v>2817.7874899999997</v>
      </c>
      <c r="AJ37" s="62">
        <f t="shared" si="5"/>
        <v>11445.561839999998</v>
      </c>
      <c r="AK37" s="62">
        <f t="shared" si="6"/>
        <v>1093.3778</v>
      </c>
      <c r="AL37" s="62">
        <f t="shared" si="7"/>
        <v>12538.939639999999</v>
      </c>
      <c r="AN37" s="27">
        <f t="shared" si="56"/>
        <v>9614.2985311200009</v>
      </c>
      <c r="AP37" s="66">
        <f t="shared" si="57"/>
        <v>44600.689418378999</v>
      </c>
      <c r="AQ37" s="55">
        <f t="shared" si="58"/>
        <v>3714.6875570375933</v>
      </c>
      <c r="AR37" s="16">
        <f t="shared" si="59"/>
        <v>30776.353482037593</v>
      </c>
      <c r="AS37" s="55">
        <f t="shared" si="60"/>
        <v>5680.8437789752425</v>
      </c>
      <c r="AT37" s="55">
        <f t="shared" si="61"/>
        <v>4807.1492655600005</v>
      </c>
      <c r="AU37" s="55">
        <f t="shared" si="62"/>
        <v>873.694513415242</v>
      </c>
      <c r="AV37" s="16">
        <f t="shared" si="63"/>
        <v>34491.041039075186</v>
      </c>
      <c r="AW37" s="56">
        <f t="shared" si="64"/>
        <v>0.23520000000000002</v>
      </c>
      <c r="AX37" s="62">
        <f t="shared" si="65"/>
        <v>10490.082151202741</v>
      </c>
      <c r="AY37" s="62">
        <f t="shared" si="66"/>
        <v>20980.164302405483</v>
      </c>
      <c r="AZ37" s="16"/>
      <c r="BA37" s="16">
        <f t="shared" si="67"/>
        <v>75377.042900416593</v>
      </c>
      <c r="BB37" s="55">
        <f t="shared" si="68"/>
        <v>19191.55052813331</v>
      </c>
      <c r="BC37" s="55">
        <f t="shared" si="69"/>
        <v>4807.1492655600005</v>
      </c>
      <c r="BD37" s="55">
        <f t="shared" si="13"/>
        <v>14384.401262573308</v>
      </c>
      <c r="BE37" s="55">
        <f t="shared" si="30"/>
        <v>28768.802525146617</v>
      </c>
      <c r="BF37" s="56"/>
      <c r="BG37" s="62">
        <f t="shared" si="70"/>
        <v>324739.99109999998</v>
      </c>
      <c r="BH37" s="62">
        <f t="shared" si="71"/>
        <v>44600.689418378999</v>
      </c>
      <c r="BI37" s="62">
        <f t="shared" si="46"/>
        <v>369340.68051837897</v>
      </c>
      <c r="BJ37" s="55">
        <f t="shared" si="72"/>
        <v>68175.899209922733</v>
      </c>
      <c r="BK37" s="55">
        <f t="shared" si="73"/>
        <v>57685.791186720002</v>
      </c>
      <c r="BL37" s="55">
        <f t="shared" si="74"/>
        <v>10490.108023202731</v>
      </c>
      <c r="BM37" s="55">
        <f t="shared" si="75"/>
        <v>20980.216046405461</v>
      </c>
      <c r="BN37" s="67"/>
      <c r="BO37" s="89">
        <v>62500.01</v>
      </c>
      <c r="BP37" s="89">
        <v>83333.33</v>
      </c>
      <c r="BQ37" s="89">
        <v>15070.9</v>
      </c>
      <c r="BR37" s="90">
        <v>0.32</v>
      </c>
      <c r="BT37" s="89">
        <v>6224.68</v>
      </c>
      <c r="BU37" s="89">
        <v>7113.9</v>
      </c>
      <c r="BV37" s="89">
        <v>253.54</v>
      </c>
    </row>
    <row r="38" spans="2:74" x14ac:dyDescent="0.2">
      <c r="B38" s="95" t="s">
        <v>124</v>
      </c>
      <c r="C38" s="64">
        <v>2</v>
      </c>
      <c r="D38" s="65">
        <v>19561</v>
      </c>
      <c r="E38" s="64"/>
      <c r="F38" s="65">
        <v>6455.13</v>
      </c>
      <c r="G38" s="65">
        <v>19561</v>
      </c>
      <c r="H38" s="65">
        <v>39122</v>
      </c>
      <c r="I38" s="65">
        <v>469464</v>
      </c>
      <c r="J38" s="65">
        <v>3206.0226690011414</v>
      </c>
      <c r="K38" s="65">
        <v>597.89768439497709</v>
      </c>
      <c r="L38" s="65">
        <v>7607.8407067922371</v>
      </c>
      <c r="M38" s="65">
        <v>76078.407067922366</v>
      </c>
      <c r="N38" s="65">
        <v>9682.6949999999997</v>
      </c>
      <c r="O38" s="65">
        <v>19365.39</v>
      </c>
      <c r="P38" s="65">
        <v>16828.378206375332</v>
      </c>
      <c r="Q38" s="65">
        <v>21517.285727498875</v>
      </c>
      <c r="R38" s="65">
        <v>14083.919999999998</v>
      </c>
      <c r="S38" s="65">
        <v>82156.2</v>
      </c>
      <c r="T38" s="65">
        <v>8563.7759999999998</v>
      </c>
      <c r="U38" s="65">
        <v>1224.49944375</v>
      </c>
      <c r="V38" s="65">
        <v>29387.986649999999</v>
      </c>
      <c r="W38" s="65">
        <v>1224.49944375</v>
      </c>
      <c r="X38" s="65">
        <v>29387.986649999999</v>
      </c>
      <c r="Y38" s="65">
        <v>0</v>
      </c>
      <c r="Z38" s="65">
        <v>19561</v>
      </c>
      <c r="AA38" s="3"/>
      <c r="AB38" s="42">
        <f t="shared" si="48"/>
        <v>652.0333333333333</v>
      </c>
      <c r="AC38" s="60">
        <f t="shared" si="49"/>
        <v>10.620648125000002</v>
      </c>
      <c r="AD38" s="61">
        <f t="shared" si="50"/>
        <v>662.65398145833331</v>
      </c>
      <c r="AE38" s="61">
        <f t="shared" si="51"/>
        <v>762.50595126712324</v>
      </c>
      <c r="AF38" s="62">
        <f t="shared" si="52"/>
        <v>5620.9853999999996</v>
      </c>
      <c r="AG38" s="62">
        <f t="shared" si="53"/>
        <v>2152.1843443374996</v>
      </c>
      <c r="AH38" s="62">
        <f t="shared" si="54"/>
        <v>782.61248884999986</v>
      </c>
      <c r="AI38" s="62">
        <f t="shared" si="55"/>
        <v>2202.8606305619378</v>
      </c>
      <c r="AJ38" s="62">
        <f t="shared" si="5"/>
        <v>9976.0303748994374</v>
      </c>
      <c r="AK38" s="62">
        <f t="shared" si="6"/>
        <v>782.61248884999986</v>
      </c>
      <c r="AL38" s="62">
        <f t="shared" si="7"/>
        <v>10758.642863749437</v>
      </c>
      <c r="AN38" s="27">
        <f t="shared" si="56"/>
        <v>7237.9943566799993</v>
      </c>
      <c r="AP38" s="66">
        <f t="shared" si="57"/>
        <v>35774.503533961186</v>
      </c>
      <c r="AQ38" s="55">
        <f t="shared" si="58"/>
        <v>2979.5750888559451</v>
      </c>
      <c r="AR38" s="16">
        <f t="shared" si="59"/>
        <v>24989.573976355943</v>
      </c>
      <c r="AS38" s="55">
        <f t="shared" si="60"/>
        <v>4319.7932392389184</v>
      </c>
      <c r="AT38" s="55">
        <f t="shared" si="61"/>
        <v>3618.9971783399997</v>
      </c>
      <c r="AU38" s="55">
        <f t="shared" si="62"/>
        <v>700.79606089891877</v>
      </c>
      <c r="AV38" s="16">
        <f t="shared" si="63"/>
        <v>27969.149065211888</v>
      </c>
      <c r="AW38" s="56">
        <f t="shared" si="64"/>
        <v>0.23520000000000016</v>
      </c>
      <c r="AX38" s="62">
        <f t="shared" si="65"/>
        <v>8414.1632311876765</v>
      </c>
      <c r="AY38" s="62">
        <f t="shared" si="66"/>
        <v>16828.326462375353</v>
      </c>
      <c r="AZ38" s="16"/>
      <c r="BA38" s="16">
        <f t="shared" si="67"/>
        <v>60764.077510317133</v>
      </c>
      <c r="BB38" s="55">
        <f t="shared" si="68"/>
        <v>14550.121253095138</v>
      </c>
      <c r="BC38" s="55">
        <f t="shared" si="69"/>
        <v>3618.9971783399997</v>
      </c>
      <c r="BD38" s="55">
        <f t="shared" si="13"/>
        <v>10931.124074755138</v>
      </c>
      <c r="BE38" s="55">
        <f t="shared" si="30"/>
        <v>21862.248149510277</v>
      </c>
      <c r="BF38" s="56"/>
      <c r="BG38" s="62">
        <f t="shared" si="70"/>
        <v>264119.98664999998</v>
      </c>
      <c r="BH38" s="62">
        <f t="shared" si="71"/>
        <v>35774.503533961186</v>
      </c>
      <c r="BI38" s="62">
        <f t="shared" si="46"/>
        <v>299894.49018396117</v>
      </c>
      <c r="BJ38" s="55">
        <f t="shared" si="72"/>
        <v>51842.155243267662</v>
      </c>
      <c r="BK38" s="55">
        <f t="shared" si="73"/>
        <v>43427.966140079996</v>
      </c>
      <c r="BL38" s="55">
        <f t="shared" si="74"/>
        <v>8414.1891031876658</v>
      </c>
      <c r="BM38" s="55">
        <f t="shared" si="75"/>
        <v>16828.378206375332</v>
      </c>
      <c r="BN38" s="67"/>
      <c r="BO38" s="89">
        <v>83333.34</v>
      </c>
      <c r="BP38" s="89">
        <v>250000</v>
      </c>
      <c r="BQ38" s="89">
        <v>21737.57</v>
      </c>
      <c r="BR38" s="90">
        <v>0.34</v>
      </c>
      <c r="BT38" s="89">
        <v>7113.91</v>
      </c>
      <c r="BU38" s="89">
        <v>7382.33</v>
      </c>
      <c r="BV38" s="89">
        <v>217.61</v>
      </c>
    </row>
    <row r="39" spans="2:74" ht="13.5" thickBot="1" x14ac:dyDescent="0.25">
      <c r="B39" s="95" t="s">
        <v>125</v>
      </c>
      <c r="C39" s="64">
        <v>1</v>
      </c>
      <c r="D39" s="65">
        <v>19561</v>
      </c>
      <c r="E39" s="64"/>
      <c r="F39" s="65">
        <v>6455.13</v>
      </c>
      <c r="G39" s="65">
        <v>19561</v>
      </c>
      <c r="H39" s="65">
        <v>19561</v>
      </c>
      <c r="I39" s="65">
        <v>234732</v>
      </c>
      <c r="J39" s="65">
        <v>3206.0226690011414</v>
      </c>
      <c r="K39" s="65">
        <v>597.89768439497709</v>
      </c>
      <c r="L39" s="65">
        <v>3803.9203533961186</v>
      </c>
      <c r="M39" s="65">
        <v>38039.203533961183</v>
      </c>
      <c r="N39" s="65">
        <v>9682.6949999999997</v>
      </c>
      <c r="O39" s="65">
        <v>9682.6949999999997</v>
      </c>
      <c r="P39" s="65">
        <v>8414.1891031876658</v>
      </c>
      <c r="Q39" s="65">
        <v>10758.642863749437</v>
      </c>
      <c r="R39" s="65">
        <v>7041.9599999999991</v>
      </c>
      <c r="S39" s="65">
        <v>41078.1</v>
      </c>
      <c r="T39" s="65">
        <v>4501.7856000000002</v>
      </c>
      <c r="U39" s="65">
        <v>1224.49944375</v>
      </c>
      <c r="V39" s="65">
        <v>14693.993324999999</v>
      </c>
      <c r="W39" s="65">
        <v>1224.49944375</v>
      </c>
      <c r="X39" s="65">
        <v>14693.993324999999</v>
      </c>
      <c r="Y39" s="65">
        <v>0</v>
      </c>
      <c r="Z39" s="65">
        <v>9780.5</v>
      </c>
      <c r="AA39" s="3"/>
      <c r="AB39" s="42">
        <f t="shared" si="48"/>
        <v>652.0333333333333</v>
      </c>
      <c r="AC39" s="60">
        <f t="shared" si="49"/>
        <v>10.620648125000002</v>
      </c>
      <c r="AD39" s="61">
        <f t="shared" si="50"/>
        <v>662.65398145833331</v>
      </c>
      <c r="AE39" s="61">
        <f t="shared" si="51"/>
        <v>762.50595126712324</v>
      </c>
      <c r="AF39" s="62">
        <f t="shared" si="52"/>
        <v>5620.9853999999996</v>
      </c>
      <c r="AG39" s="62">
        <f t="shared" si="53"/>
        <v>2152.1843443374996</v>
      </c>
      <c r="AH39" s="62">
        <f t="shared" si="54"/>
        <v>782.61248884999986</v>
      </c>
      <c r="AI39" s="62">
        <f t="shared" si="55"/>
        <v>2202.8606305619378</v>
      </c>
      <c r="AJ39" s="62">
        <f t="shared" si="5"/>
        <v>9976.0303748994374</v>
      </c>
      <c r="AK39" s="62">
        <f t="shared" si="6"/>
        <v>782.61248884999986</v>
      </c>
      <c r="AL39" s="62">
        <f t="shared" si="7"/>
        <v>10758.642863749437</v>
      </c>
      <c r="AN39" s="27">
        <f t="shared" si="56"/>
        <v>3618.9971783399997</v>
      </c>
      <c r="AP39" s="66">
        <f t="shared" si="57"/>
        <v>35774.503533961186</v>
      </c>
      <c r="AQ39" s="55">
        <f t="shared" si="58"/>
        <v>2979.5750888559451</v>
      </c>
      <c r="AR39" s="16">
        <f t="shared" si="59"/>
        <v>24989.573976355943</v>
      </c>
      <c r="AS39" s="55">
        <f t="shared" si="60"/>
        <v>4319.7932392389184</v>
      </c>
      <c r="AT39" s="55">
        <f t="shared" si="61"/>
        <v>3618.9971783399997</v>
      </c>
      <c r="AU39" s="55">
        <f t="shared" si="62"/>
        <v>700.79606089891877</v>
      </c>
      <c r="AV39" s="16">
        <f t="shared" si="63"/>
        <v>27969.149065211888</v>
      </c>
      <c r="AW39" s="56">
        <f t="shared" si="64"/>
        <v>0.23520000000000016</v>
      </c>
      <c r="AX39" s="62">
        <f t="shared" si="65"/>
        <v>8414.1632311876765</v>
      </c>
      <c r="AY39" s="62">
        <f t="shared" si="66"/>
        <v>8414.1632311876765</v>
      </c>
      <c r="AZ39" s="16"/>
      <c r="BA39" s="16">
        <f t="shared" si="67"/>
        <v>60764.077510317133</v>
      </c>
      <c r="BB39" s="55">
        <f t="shared" si="68"/>
        <v>14550.121253095138</v>
      </c>
      <c r="BC39" s="55">
        <f t="shared" si="69"/>
        <v>3618.9971783399997</v>
      </c>
      <c r="BD39" s="55">
        <f t="shared" si="13"/>
        <v>10931.124074755138</v>
      </c>
      <c r="BE39" s="55">
        <f t="shared" si="30"/>
        <v>10931.124074755138</v>
      </c>
      <c r="BF39" s="56"/>
      <c r="BG39" s="62">
        <f t="shared" si="70"/>
        <v>264119.98664999998</v>
      </c>
      <c r="BH39" s="62">
        <f t="shared" si="71"/>
        <v>35774.503533961186</v>
      </c>
      <c r="BI39" s="62">
        <f t="shared" si="46"/>
        <v>299894.49018396117</v>
      </c>
      <c r="BJ39" s="55">
        <f t="shared" si="72"/>
        <v>51842.155243267662</v>
      </c>
      <c r="BK39" s="55">
        <f t="shared" si="73"/>
        <v>43427.966140079996</v>
      </c>
      <c r="BL39" s="55">
        <f t="shared" si="74"/>
        <v>8414.1891031876658</v>
      </c>
      <c r="BM39" s="55">
        <f t="shared" si="75"/>
        <v>8414.1891031876658</v>
      </c>
      <c r="BN39" s="67"/>
      <c r="BO39" s="97">
        <v>250000.01</v>
      </c>
      <c r="BP39" s="97" t="s">
        <v>126</v>
      </c>
      <c r="BQ39" s="97">
        <v>78404.23</v>
      </c>
      <c r="BR39" s="98">
        <v>0.35</v>
      </c>
      <c r="BT39" s="97">
        <v>7382.34</v>
      </c>
      <c r="BU39" s="97" t="s">
        <v>126</v>
      </c>
      <c r="BV39" s="97">
        <v>0</v>
      </c>
    </row>
    <row r="40" spans="2:74" ht="13.5" thickTop="1" x14ac:dyDescent="0.2">
      <c r="B40" s="96" t="s">
        <v>127</v>
      </c>
      <c r="C40" s="99">
        <v>1</v>
      </c>
      <c r="D40" s="65">
        <v>14000</v>
      </c>
      <c r="E40" s="99"/>
      <c r="F40" s="65">
        <v>4620</v>
      </c>
      <c r="G40" s="65">
        <v>14000</v>
      </c>
      <c r="H40" s="65">
        <v>14000</v>
      </c>
      <c r="I40" s="65">
        <v>168000</v>
      </c>
      <c r="J40" s="65">
        <v>2413.832044460331</v>
      </c>
      <c r="K40" s="65">
        <v>445.11719007591324</v>
      </c>
      <c r="L40" s="65">
        <v>2858.9492345362441</v>
      </c>
      <c r="M40" s="65">
        <v>28589.492345362443</v>
      </c>
      <c r="N40" s="65">
        <v>6930</v>
      </c>
      <c r="O40" s="65">
        <v>6930</v>
      </c>
      <c r="P40" s="65">
        <v>5622.9991409694267</v>
      </c>
      <c r="Q40" s="65">
        <v>8994.2600370769069</v>
      </c>
      <c r="R40" s="65">
        <v>5040</v>
      </c>
      <c r="S40" s="65">
        <v>29400</v>
      </c>
      <c r="T40" s="65">
        <v>4501.7856000000002</v>
      </c>
      <c r="U40" s="65">
        <v>1285.7244159375</v>
      </c>
      <c r="V40" s="65">
        <v>15428.69299125</v>
      </c>
      <c r="W40" s="65">
        <v>1285.7244159375</v>
      </c>
      <c r="X40" s="65">
        <v>15428.69299125</v>
      </c>
      <c r="Y40" s="65">
        <v>0</v>
      </c>
      <c r="Z40" s="65">
        <v>7000</v>
      </c>
      <c r="AA40" s="3"/>
      <c r="AB40" s="42">
        <f t="shared" si="48"/>
        <v>466.66666666666669</v>
      </c>
      <c r="AC40" s="60">
        <f t="shared" si="49"/>
        <v>12.66148053125</v>
      </c>
      <c r="AD40" s="61">
        <f t="shared" si="50"/>
        <v>479.32814719791668</v>
      </c>
      <c r="AE40" s="61">
        <f t="shared" si="51"/>
        <v>551.5556762277397</v>
      </c>
      <c r="AF40" s="62">
        <f t="shared" si="52"/>
        <v>5620.9853999999996</v>
      </c>
      <c r="AG40" s="62">
        <f t="shared" si="53"/>
        <v>1305.2189900543749</v>
      </c>
      <c r="AH40" s="62">
        <f t="shared" si="54"/>
        <v>474.62508729249998</v>
      </c>
      <c r="AI40" s="62">
        <f t="shared" si="55"/>
        <v>1593.4305597300342</v>
      </c>
      <c r="AJ40" s="62">
        <f t="shared" si="5"/>
        <v>8519.6349497844076</v>
      </c>
      <c r="AK40" s="62">
        <f t="shared" si="6"/>
        <v>474.62508729249998</v>
      </c>
      <c r="AL40" s="62">
        <f t="shared" si="7"/>
        <v>8994.2600370769069</v>
      </c>
      <c r="AN40" s="27">
        <f t="shared" si="56"/>
        <v>2430.5417744884999</v>
      </c>
      <c r="AP40" s="66">
        <f t="shared" si="57"/>
        <v>26324.792345362443</v>
      </c>
      <c r="AQ40" s="55">
        <f t="shared" si="58"/>
        <v>2192.5306501342966</v>
      </c>
      <c r="AR40" s="16">
        <f t="shared" si="59"/>
        <v>18763.979482009297</v>
      </c>
      <c r="AS40" s="55">
        <f t="shared" si="60"/>
        <v>2898.8663213571858</v>
      </c>
      <c r="AT40" s="55">
        <f t="shared" si="61"/>
        <v>2430.5417744884999</v>
      </c>
      <c r="AU40" s="55">
        <f t="shared" si="62"/>
        <v>468.32454686868596</v>
      </c>
      <c r="AV40" s="16">
        <f t="shared" si="63"/>
        <v>20956.510132143594</v>
      </c>
      <c r="AW40" s="56">
        <f t="shared" si="64"/>
        <v>0.2136000000000001</v>
      </c>
      <c r="AX40" s="62">
        <f t="shared" si="65"/>
        <v>5622.9756449694205</v>
      </c>
      <c r="AY40" s="62">
        <f t="shared" si="66"/>
        <v>5622.9756449694205</v>
      </c>
      <c r="AZ40" s="16"/>
      <c r="BA40" s="16">
        <f t="shared" si="67"/>
        <v>45088.77182737174</v>
      </c>
      <c r="BB40" s="55">
        <f t="shared" si="68"/>
        <v>9847.5295482115216</v>
      </c>
      <c r="BC40" s="55">
        <f t="shared" si="69"/>
        <v>2430.5417744884999</v>
      </c>
      <c r="BD40" s="55">
        <f t="shared" si="13"/>
        <v>7416.9877737230217</v>
      </c>
      <c r="BE40" s="55">
        <f t="shared" si="30"/>
        <v>7416.9877737230217</v>
      </c>
      <c r="BF40" s="56"/>
      <c r="BG40" s="62">
        <f t="shared" si="70"/>
        <v>198857.38598250001</v>
      </c>
      <c r="BH40" s="62">
        <f t="shared" si="71"/>
        <v>26324.792345362443</v>
      </c>
      <c r="BI40" s="62">
        <f t="shared" si="46"/>
        <v>225182.17832786246</v>
      </c>
      <c r="BJ40" s="55">
        <f t="shared" si="72"/>
        <v>34789.500434831425</v>
      </c>
      <c r="BK40" s="55">
        <f t="shared" si="73"/>
        <v>29166.501293861998</v>
      </c>
      <c r="BL40" s="55">
        <f t="shared" si="74"/>
        <v>5622.9991409694267</v>
      </c>
      <c r="BM40" s="55">
        <f t="shared" si="75"/>
        <v>5622.9991409694267</v>
      </c>
      <c r="BN40" s="67"/>
    </row>
    <row r="41" spans="2:74" ht="13.5" thickBot="1" x14ac:dyDescent="0.25">
      <c r="B41" s="75" t="s">
        <v>91</v>
      </c>
      <c r="C41" s="76">
        <v>10</v>
      </c>
      <c r="D41" s="100">
        <v>236667</v>
      </c>
      <c r="E41" s="76"/>
      <c r="F41" s="100"/>
      <c r="G41" s="100">
        <v>236667</v>
      </c>
      <c r="H41" s="100">
        <v>314715</v>
      </c>
      <c r="I41" s="100">
        <v>3776580</v>
      </c>
      <c r="J41" s="100"/>
      <c r="K41" s="100"/>
      <c r="L41" s="100">
        <v>57686.100152144689</v>
      </c>
      <c r="M41" s="100">
        <v>576861.00152144674</v>
      </c>
      <c r="N41" s="100"/>
      <c r="O41" s="100">
        <v>155783.92500000005</v>
      </c>
      <c r="P41" s="100">
        <v>157611.03960355892</v>
      </c>
      <c r="Q41" s="100">
        <v>131473.2392670752</v>
      </c>
      <c r="R41" s="100">
        <v>113297.4</v>
      </c>
      <c r="S41" s="100">
        <v>660901.49999999988</v>
      </c>
      <c r="T41" s="100">
        <v>65073.335808000003</v>
      </c>
      <c r="U41" s="100">
        <v>6405.7657659375</v>
      </c>
      <c r="V41" s="100">
        <v>109877.43506625001</v>
      </c>
      <c r="W41" s="100">
        <v>6405.7657659375</v>
      </c>
      <c r="X41" s="100">
        <v>109877.43506625001</v>
      </c>
      <c r="Y41" s="100">
        <v>0</v>
      </c>
      <c r="Z41" s="100">
        <v>111357.5</v>
      </c>
      <c r="AA41" s="42"/>
      <c r="AB41" s="42"/>
      <c r="AC41" s="60"/>
      <c r="AD41" s="61"/>
      <c r="AE41" s="61"/>
      <c r="AF41" s="62"/>
      <c r="AG41" s="62"/>
      <c r="AH41" s="62"/>
      <c r="AI41" s="62"/>
      <c r="AJ41" s="62"/>
      <c r="AK41" s="62"/>
      <c r="AL41" s="62"/>
      <c r="AN41" s="27"/>
      <c r="AP41" s="55"/>
      <c r="AQ41" s="55"/>
      <c r="AR41" s="16"/>
      <c r="AS41" s="16"/>
      <c r="AT41" s="55"/>
      <c r="AU41" s="55"/>
      <c r="AV41" s="55"/>
      <c r="AW41" s="93"/>
      <c r="AX41" s="62"/>
      <c r="AY41" s="62"/>
      <c r="AZ41" s="16"/>
      <c r="BA41" s="16"/>
      <c r="BB41" s="55"/>
      <c r="BC41" s="55"/>
      <c r="BD41" s="55"/>
      <c r="BE41" s="55">
        <f t="shared" si="30"/>
        <v>0</v>
      </c>
      <c r="BF41" s="56"/>
      <c r="BG41" s="62"/>
      <c r="BH41" s="62"/>
      <c r="BI41" s="62"/>
      <c r="BJ41" s="55"/>
      <c r="BK41" s="55"/>
      <c r="BL41" s="55"/>
      <c r="BM41" s="55"/>
      <c r="BN41" s="67"/>
      <c r="BO41" s="8">
        <v>12</v>
      </c>
    </row>
    <row r="42" spans="2:74" ht="12.75" customHeight="1" thickTop="1" x14ac:dyDescent="0.2">
      <c r="B42" s="94" t="s">
        <v>128</v>
      </c>
      <c r="C42" s="84"/>
      <c r="D42" s="85"/>
      <c r="E42" s="84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3"/>
      <c r="AB42" s="42"/>
      <c r="AC42" s="60"/>
      <c r="AD42" s="61"/>
      <c r="AE42" s="61"/>
      <c r="AF42" s="62"/>
      <c r="AG42" s="62"/>
      <c r="AH42" s="62"/>
      <c r="AI42" s="62"/>
      <c r="AJ42" s="62"/>
      <c r="AK42" s="62"/>
      <c r="AL42" s="62"/>
      <c r="AN42" s="27"/>
      <c r="AP42" s="55"/>
      <c r="AQ42" s="55"/>
      <c r="AR42" s="16"/>
      <c r="AS42" s="16"/>
      <c r="AT42" s="55"/>
      <c r="AU42" s="55"/>
      <c r="AV42" s="55"/>
      <c r="AW42" s="93"/>
      <c r="AX42" s="62"/>
      <c r="AY42" s="62"/>
      <c r="AZ42" s="16"/>
      <c r="BA42" s="16"/>
      <c r="BB42" s="55"/>
      <c r="BC42" s="55"/>
      <c r="BD42" s="55"/>
      <c r="BE42" s="55">
        <f t="shared" si="30"/>
        <v>0</v>
      </c>
      <c r="BF42" s="56"/>
      <c r="BG42" s="62"/>
      <c r="BH42" s="62"/>
      <c r="BI42" s="62"/>
      <c r="BJ42" s="55"/>
      <c r="BK42" s="55"/>
      <c r="BL42" s="55"/>
      <c r="BM42" s="55"/>
      <c r="BN42" s="67"/>
      <c r="BO42" s="82" t="s">
        <v>92</v>
      </c>
      <c r="BP42" s="82" t="s">
        <v>93</v>
      </c>
      <c r="BQ42" s="82" t="s">
        <v>94</v>
      </c>
      <c r="BR42" s="82" t="s">
        <v>95</v>
      </c>
    </row>
    <row r="43" spans="2:74" ht="12" customHeight="1" x14ac:dyDescent="0.2">
      <c r="B43" s="95" t="s">
        <v>129</v>
      </c>
      <c r="C43" s="64">
        <v>1</v>
      </c>
      <c r="D43" s="65">
        <v>80000</v>
      </c>
      <c r="E43" s="64"/>
      <c r="F43" s="65">
        <v>26400</v>
      </c>
      <c r="G43" s="65">
        <v>80000</v>
      </c>
      <c r="H43" s="65">
        <v>80000</v>
      </c>
      <c r="I43" s="65">
        <v>960000</v>
      </c>
      <c r="J43" s="65">
        <v>11792.366666666667</v>
      </c>
      <c r="K43" s="65">
        <v>2254.9872146118719</v>
      </c>
      <c r="L43" s="65">
        <v>14047.353881278539</v>
      </c>
      <c r="M43" s="65">
        <v>140473.53881278538</v>
      </c>
      <c r="N43" s="65">
        <v>39600</v>
      </c>
      <c r="O43" s="65">
        <v>39600</v>
      </c>
      <c r="P43" s="65">
        <v>46420.773796347057</v>
      </c>
      <c r="Q43" s="65">
        <v>20165.973968749997</v>
      </c>
      <c r="R43" s="65">
        <v>28800</v>
      </c>
      <c r="S43" s="65">
        <v>168000</v>
      </c>
      <c r="T43" s="65">
        <v>13588.199999999999</v>
      </c>
      <c r="U43" s="65">
        <v>478.50000000000006</v>
      </c>
      <c r="V43" s="65">
        <v>5742.0000000000009</v>
      </c>
      <c r="W43" s="65">
        <v>478.50000000000006</v>
      </c>
      <c r="X43" s="65">
        <v>5742.0000000000009</v>
      </c>
      <c r="Y43" s="65">
        <v>0</v>
      </c>
      <c r="Z43" s="65">
        <v>0</v>
      </c>
      <c r="AA43" s="3"/>
      <c r="AB43" s="42">
        <f t="shared" ref="AB43:AB50" si="76">+G43/30</f>
        <v>2666.6666666666665</v>
      </c>
      <c r="AC43" s="60">
        <f t="shared" ref="AC43:AC50" si="77">IF(((U43/30)&lt;$AH$4),0,((U43/30)-$AH$4))</f>
        <v>0</v>
      </c>
      <c r="AD43" s="61">
        <f t="shared" ref="AD43:AD50" si="78">+AB43+AC43</f>
        <v>2666.6666666666665</v>
      </c>
      <c r="AE43" s="61">
        <f t="shared" ref="AE43:AE50" si="79">IF((AD43*$AH$3)&gt;$AI$6,$AI$6,(AD43*$AH$3))</f>
        <v>1887.2499999999998</v>
      </c>
      <c r="AF43" s="62">
        <f t="shared" ref="AF43:AF50" si="80">+$AL$1*$AL$2*$AF$9</f>
        <v>5620.9853999999996</v>
      </c>
      <c r="AG43" s="62">
        <f t="shared" ref="AG43:AG50" si="81">+IF(AE43&gt;($AH$6*3),(AE43-($AH$6*3))*$AG$8,0)*$AG$9</f>
        <v>6668.0316999999986</v>
      </c>
      <c r="AH43" s="62">
        <f t="shared" ref="AH43:AH50" si="82">+IF(AE43&gt;($AH$6*3),(AE43-($AH$6*3))*$AH$8,0)*$AH$9</f>
        <v>2424.7387999999996</v>
      </c>
      <c r="AI43" s="62">
        <f t="shared" ref="AI43:AI50" si="83">+(AE43*$AI$9)*$AI$8</f>
        <v>5452.2180687499995</v>
      </c>
      <c r="AJ43" s="62">
        <f t="shared" si="5"/>
        <v>17741.235168749998</v>
      </c>
      <c r="AK43" s="62">
        <f t="shared" si="6"/>
        <v>2424.7387999999996</v>
      </c>
      <c r="AL43" s="62">
        <f t="shared" si="7"/>
        <v>20165.973968749997</v>
      </c>
      <c r="AN43" s="27">
        <f t="shared" ref="AN43:AN50" si="84">+AT43*C43</f>
        <v>20977.1368</v>
      </c>
      <c r="AP43" s="66">
        <f t="shared" ref="AP43:AP50" si="85">+((M43/C43)-($AL$2*30))</f>
        <v>138208.83881278537</v>
      </c>
      <c r="AQ43" s="55">
        <f t="shared" ref="AQ43:AQ50" si="86">+AP43/365*30.4</f>
        <v>11511.092328516917</v>
      </c>
      <c r="AR43" s="16">
        <f t="shared" ref="AR43:AR50" si="87">+G43+U43+W43+AQ43</f>
        <v>92468.092328516912</v>
      </c>
      <c r="AS43" s="55">
        <f t="shared" ref="AS43:AS50" si="88">((AR43-VLOOKUP(AR43,$BO$17:$BR$39,1))*VLOOKUP(AR43,$BO$17:$BR$39,4)+VLOOKUP(AR43,$BO$17:$BR$39,3))-VLOOKUP(AR43,$BT$17:$BV$39,3)</f>
        <v>24843.38579169575</v>
      </c>
      <c r="AT43" s="55">
        <f t="shared" ref="AT43:AT50" si="89">(((G43+U43+W43)-VLOOKUP((G43+U43+W43),$BO$17:$BR$39,1))*VLOOKUP((G43+U43+W43),$BO$17:$BR$39,4)+VLOOKUP((G43+U43+W43),$BO$17:$BR$39,3))-VLOOKUP((G43+U43+W43),$BT$17:$BV$39,3)</f>
        <v>20977.1368</v>
      </c>
      <c r="AU43" s="55">
        <f t="shared" ref="AU43:AU50" si="90">+AS43-AT43</f>
        <v>3866.2489916957493</v>
      </c>
      <c r="AV43" s="16">
        <f t="shared" ref="AV43:AV50" si="91">+AR43+AQ43</f>
        <v>103979.18465703382</v>
      </c>
      <c r="AW43" s="56">
        <f t="shared" ref="AW43:AW50" si="92">+(AU43/AQ43)</f>
        <v>0.33587159944132555</v>
      </c>
      <c r="AX43" s="62">
        <f t="shared" ref="AX43:AX50" si="93">+AP43*AW43</f>
        <v>46420.423748978574</v>
      </c>
      <c r="AY43" s="62">
        <f t="shared" ref="AY43:AY50" si="94">+AX43*C43</f>
        <v>46420.423748978574</v>
      </c>
      <c r="AZ43" s="16"/>
      <c r="BA43" s="16">
        <f t="shared" ref="BA43:BA50" si="95">+AP43+AR43</f>
        <v>230676.93114130228</v>
      </c>
      <c r="BB43" s="55">
        <f t="shared" ref="BB43:BB50" si="96">((BA43-VLOOKUP(BA43,$BO$17:$BR$39,1))*VLOOKUP(BA43,$BO$17:$BR$39,4)+VLOOKUP(BA43,$BO$17:$BR$39,3))-VLOOKUP(BA43,$BT$17:$BV$39,3)</f>
        <v>71834.390988042782</v>
      </c>
      <c r="BC43" s="55">
        <f t="shared" ref="BC43:BC50" si="97">+AT43</f>
        <v>20977.1368</v>
      </c>
      <c r="BD43" s="55">
        <f t="shared" si="13"/>
        <v>50857.254188042782</v>
      </c>
      <c r="BE43" s="55">
        <f t="shared" si="30"/>
        <v>50857.254188042782</v>
      </c>
      <c r="BF43" s="56"/>
      <c r="BG43" s="62">
        <f t="shared" ref="BG43:BG50" si="98">+(G43+U43+W43)*12</f>
        <v>971484</v>
      </c>
      <c r="BH43" s="62">
        <f t="shared" ref="BH43:BH50" si="99">+AP43</f>
        <v>138208.83881278537</v>
      </c>
      <c r="BI43" s="62">
        <f t="shared" si="46"/>
        <v>1109692.8388127855</v>
      </c>
      <c r="BJ43" s="55">
        <f t="shared" ref="BJ43:BJ50" si="100">((BI43-VLOOKUP(BI43,$BO$45:$BR$61,1))*VLOOKUP(BI43,$BO$45:$BR$61,4)+VLOOKUP(BI43,$BO$45:$BR$61,3))</f>
        <v>298146.41539634706</v>
      </c>
      <c r="BK43" s="55">
        <f t="shared" ref="BK43:BK50" si="101">+AT43*12</f>
        <v>251725.6416</v>
      </c>
      <c r="BL43" s="55">
        <f t="shared" ref="BL43:BL50" si="102">+BJ43-BK43</f>
        <v>46420.773796347057</v>
      </c>
      <c r="BM43" s="55">
        <f t="shared" ref="BM43:BM50" si="103">+BL43*C43</f>
        <v>46420.773796347057</v>
      </c>
      <c r="BN43" s="67"/>
      <c r="BO43" s="87"/>
      <c r="BP43" s="87"/>
      <c r="BQ43" s="87"/>
      <c r="BR43" s="87" t="s">
        <v>98</v>
      </c>
    </row>
    <row r="44" spans="2:74" ht="13.5" thickBot="1" x14ac:dyDescent="0.25">
      <c r="B44" s="95" t="s">
        <v>130</v>
      </c>
      <c r="C44" s="64">
        <v>1</v>
      </c>
      <c r="D44" s="65">
        <v>66116</v>
      </c>
      <c r="E44" s="64"/>
      <c r="F44" s="65">
        <v>21818.280000000002</v>
      </c>
      <c r="G44" s="65">
        <v>66116</v>
      </c>
      <c r="H44" s="65">
        <v>66116</v>
      </c>
      <c r="I44" s="65">
        <v>793392</v>
      </c>
      <c r="J44" s="65">
        <v>9810.4196666666667</v>
      </c>
      <c r="K44" s="65">
        <v>1872.9521735159815</v>
      </c>
      <c r="L44" s="65">
        <v>11683.371840182648</v>
      </c>
      <c r="M44" s="65">
        <v>116833.71840182648</v>
      </c>
      <c r="N44" s="65">
        <v>32727.420000000006</v>
      </c>
      <c r="O44" s="65">
        <v>32727.420000000006</v>
      </c>
      <c r="P44" s="65">
        <v>36662.121088584448</v>
      </c>
      <c r="Q44" s="65">
        <v>20165.973968749997</v>
      </c>
      <c r="R44" s="65">
        <v>23801.760000000002</v>
      </c>
      <c r="S44" s="65">
        <v>138843.59999999998</v>
      </c>
      <c r="T44" s="65">
        <v>13588.199999999999</v>
      </c>
      <c r="U44" s="65">
        <v>617.26499999999999</v>
      </c>
      <c r="V44" s="65">
        <v>7407.18</v>
      </c>
      <c r="W44" s="65">
        <v>617.26499999999999</v>
      </c>
      <c r="X44" s="65">
        <v>7407.18</v>
      </c>
      <c r="Y44" s="65">
        <v>0</v>
      </c>
      <c r="Z44" s="65">
        <v>0</v>
      </c>
      <c r="AA44" s="3"/>
      <c r="AB44" s="42">
        <f t="shared" si="76"/>
        <v>2203.8666666666668</v>
      </c>
      <c r="AC44" s="60">
        <f t="shared" si="77"/>
        <v>0</v>
      </c>
      <c r="AD44" s="61">
        <f t="shared" si="78"/>
        <v>2203.8666666666668</v>
      </c>
      <c r="AE44" s="61">
        <f t="shared" si="79"/>
        <v>1887.2499999999998</v>
      </c>
      <c r="AF44" s="62">
        <f t="shared" si="80"/>
        <v>5620.9853999999996</v>
      </c>
      <c r="AG44" s="62">
        <f t="shared" si="81"/>
        <v>6668.0316999999986</v>
      </c>
      <c r="AH44" s="62">
        <f t="shared" si="82"/>
        <v>2424.7387999999996</v>
      </c>
      <c r="AI44" s="62">
        <f t="shared" si="83"/>
        <v>5452.2180687499995</v>
      </c>
      <c r="AJ44" s="62">
        <f t="shared" si="5"/>
        <v>17741.235168749998</v>
      </c>
      <c r="AK44" s="62">
        <f t="shared" si="6"/>
        <v>2424.7387999999996</v>
      </c>
      <c r="AL44" s="62">
        <f t="shared" si="7"/>
        <v>20165.973968749997</v>
      </c>
      <c r="AN44" s="27">
        <f t="shared" si="84"/>
        <v>16623.0664</v>
      </c>
      <c r="AP44" s="66">
        <f t="shared" si="85"/>
        <v>114569.01840182648</v>
      </c>
      <c r="AQ44" s="55">
        <f t="shared" si="86"/>
        <v>9542.1867381247248</v>
      </c>
      <c r="AR44" s="16">
        <f t="shared" si="87"/>
        <v>76892.716738124727</v>
      </c>
      <c r="AS44" s="55">
        <f t="shared" si="88"/>
        <v>19676.566156199911</v>
      </c>
      <c r="AT44" s="55">
        <f t="shared" si="89"/>
        <v>16623.0664</v>
      </c>
      <c r="AU44" s="55">
        <f t="shared" si="90"/>
        <v>3053.4997561999116</v>
      </c>
      <c r="AV44" s="16">
        <f t="shared" si="91"/>
        <v>86434.903476249456</v>
      </c>
      <c r="AW44" s="56">
        <f t="shared" si="92"/>
        <v>0.31999999999999995</v>
      </c>
      <c r="AX44" s="62">
        <f t="shared" si="93"/>
        <v>36662.085888584472</v>
      </c>
      <c r="AY44" s="62">
        <f t="shared" si="94"/>
        <v>36662.085888584472</v>
      </c>
      <c r="AZ44" s="16"/>
      <c r="BA44" s="16">
        <f t="shared" si="95"/>
        <v>191461.73513995123</v>
      </c>
      <c r="BB44" s="55">
        <f t="shared" si="96"/>
        <v>58501.224347583418</v>
      </c>
      <c r="BC44" s="55">
        <f t="shared" si="97"/>
        <v>16623.0664</v>
      </c>
      <c r="BD44" s="55">
        <f t="shared" si="13"/>
        <v>41878.157947583415</v>
      </c>
      <c r="BE44" s="55">
        <f t="shared" si="30"/>
        <v>41878.157947583415</v>
      </c>
      <c r="BF44" s="56"/>
      <c r="BG44" s="62">
        <f t="shared" si="98"/>
        <v>808206.36</v>
      </c>
      <c r="BH44" s="62">
        <f t="shared" si="99"/>
        <v>114569.01840182648</v>
      </c>
      <c r="BI44" s="62">
        <f t="shared" si="46"/>
        <v>922775.37840182649</v>
      </c>
      <c r="BJ44" s="55">
        <f t="shared" si="100"/>
        <v>236138.91788858446</v>
      </c>
      <c r="BK44" s="55">
        <f t="shared" si="101"/>
        <v>199476.79680000001</v>
      </c>
      <c r="BL44" s="55">
        <f t="shared" si="102"/>
        <v>36662.121088584448</v>
      </c>
      <c r="BM44" s="55">
        <f t="shared" si="103"/>
        <v>36662.121088584448</v>
      </c>
      <c r="BN44" s="67"/>
      <c r="BO44" s="88" t="s">
        <v>103</v>
      </c>
      <c r="BP44" s="88" t="s">
        <v>103</v>
      </c>
      <c r="BQ44" s="88" t="s">
        <v>103</v>
      </c>
      <c r="BR44" s="88" t="s">
        <v>104</v>
      </c>
    </row>
    <row r="45" spans="2:74" ht="13.5" thickTop="1" x14ac:dyDescent="0.2">
      <c r="B45" s="95" t="s">
        <v>131</v>
      </c>
      <c r="C45" s="64">
        <v>1</v>
      </c>
      <c r="D45" s="65">
        <v>33058</v>
      </c>
      <c r="E45" s="64"/>
      <c r="F45" s="65">
        <v>10909.140000000001</v>
      </c>
      <c r="G45" s="65">
        <v>33058</v>
      </c>
      <c r="H45" s="65">
        <v>33058</v>
      </c>
      <c r="I45" s="65">
        <v>396696</v>
      </c>
      <c r="J45" s="65">
        <v>5022.0955847031955</v>
      </c>
      <c r="K45" s="65">
        <v>953.33108538812769</v>
      </c>
      <c r="L45" s="65">
        <v>5975.4266700913231</v>
      </c>
      <c r="M45" s="65">
        <v>59754.266700913227</v>
      </c>
      <c r="N45" s="65">
        <v>16363.710000000003</v>
      </c>
      <c r="O45" s="65">
        <v>16363.710000000003</v>
      </c>
      <c r="P45" s="65">
        <v>17246.903010273963</v>
      </c>
      <c r="Q45" s="65">
        <v>14986.399130000002</v>
      </c>
      <c r="R45" s="65">
        <v>11900.880000000001</v>
      </c>
      <c r="S45" s="65">
        <v>69421.799999999988</v>
      </c>
      <c r="T45" s="65">
        <v>7933.92</v>
      </c>
      <c r="U45" s="65">
        <v>709.85474999999997</v>
      </c>
      <c r="V45" s="65">
        <v>8518.2569999999996</v>
      </c>
      <c r="W45" s="65">
        <v>709.85474999999997</v>
      </c>
      <c r="X45" s="65">
        <v>8518.2569999999996</v>
      </c>
      <c r="Y45" s="65">
        <v>0</v>
      </c>
      <c r="Z45" s="65">
        <v>16529</v>
      </c>
      <c r="AA45" s="3"/>
      <c r="AB45" s="42">
        <f t="shared" si="76"/>
        <v>1101.9333333333334</v>
      </c>
      <c r="AC45" s="60">
        <f t="shared" si="77"/>
        <v>0</v>
      </c>
      <c r="AD45" s="61">
        <f t="shared" si="78"/>
        <v>1101.9333333333334</v>
      </c>
      <c r="AE45" s="61">
        <f t="shared" si="79"/>
        <v>1267.9780821917809</v>
      </c>
      <c r="AF45" s="62">
        <f t="shared" si="80"/>
        <v>5620.9853999999996</v>
      </c>
      <c r="AG45" s="62">
        <f t="shared" si="81"/>
        <v>4181.6549500000001</v>
      </c>
      <c r="AH45" s="62">
        <f t="shared" si="82"/>
        <v>1520.6017999999999</v>
      </c>
      <c r="AI45" s="62">
        <f t="shared" si="83"/>
        <v>3663.1569800000007</v>
      </c>
      <c r="AJ45" s="62">
        <f t="shared" si="5"/>
        <v>13465.797330000001</v>
      </c>
      <c r="AK45" s="62">
        <f t="shared" si="6"/>
        <v>1520.6017999999999</v>
      </c>
      <c r="AL45" s="62">
        <f t="shared" si="7"/>
        <v>14986.399130000002</v>
      </c>
      <c r="AN45" s="27">
        <f t="shared" si="84"/>
        <v>6664.2108499999986</v>
      </c>
      <c r="AP45" s="66">
        <f t="shared" si="85"/>
        <v>57489.56670091323</v>
      </c>
      <c r="AQ45" s="55">
        <f t="shared" si="86"/>
        <v>4788.1721307061971</v>
      </c>
      <c r="AR45" s="16">
        <f t="shared" si="87"/>
        <v>39265.881630706193</v>
      </c>
      <c r="AS45" s="55">
        <f t="shared" si="88"/>
        <v>8100.662489211858</v>
      </c>
      <c r="AT45" s="55">
        <f t="shared" si="89"/>
        <v>6664.2108499999986</v>
      </c>
      <c r="AU45" s="55">
        <f t="shared" si="90"/>
        <v>1436.4516392118594</v>
      </c>
      <c r="AV45" s="16">
        <f t="shared" si="91"/>
        <v>44054.05376141239</v>
      </c>
      <c r="AW45" s="56">
        <f t="shared" si="92"/>
        <v>0.30000000000000004</v>
      </c>
      <c r="AX45" s="62">
        <f t="shared" si="93"/>
        <v>17246.870010273971</v>
      </c>
      <c r="AY45" s="62">
        <f t="shared" si="94"/>
        <v>17246.870010273971</v>
      </c>
      <c r="AZ45" s="16"/>
      <c r="BA45" s="16">
        <f t="shared" si="95"/>
        <v>96755.448331619424</v>
      </c>
      <c r="BB45" s="55">
        <f t="shared" si="96"/>
        <v>26301.086832750603</v>
      </c>
      <c r="BC45" s="55">
        <f t="shared" si="97"/>
        <v>6664.2108499999986</v>
      </c>
      <c r="BD45" s="55">
        <f t="shared" si="13"/>
        <v>19636.875982750604</v>
      </c>
      <c r="BE45" s="55">
        <f t="shared" si="30"/>
        <v>19636.875982750604</v>
      </c>
      <c r="BF45" s="56"/>
      <c r="BG45" s="62">
        <f t="shared" si="98"/>
        <v>413732.51399999997</v>
      </c>
      <c r="BH45" s="62">
        <f t="shared" si="99"/>
        <v>57489.56670091323</v>
      </c>
      <c r="BI45" s="62">
        <f t="shared" si="46"/>
        <v>471222.08070091321</v>
      </c>
      <c r="BJ45" s="55">
        <f t="shared" si="100"/>
        <v>97217.433210273943</v>
      </c>
      <c r="BK45" s="55">
        <f t="shared" si="101"/>
        <v>79970.530199999979</v>
      </c>
      <c r="BL45" s="55">
        <f t="shared" si="102"/>
        <v>17246.903010273963</v>
      </c>
      <c r="BM45" s="55">
        <f t="shared" si="103"/>
        <v>17246.903010273963</v>
      </c>
      <c r="BN45" s="67"/>
      <c r="BO45" s="89">
        <v>0.01</v>
      </c>
      <c r="BP45" s="89">
        <f>+BP17*$BO$41</f>
        <v>5952.84</v>
      </c>
      <c r="BQ45" s="89">
        <v>0</v>
      </c>
      <c r="BR45" s="90">
        <v>1.9199999999999998E-2</v>
      </c>
    </row>
    <row r="46" spans="2:74" x14ac:dyDescent="0.2">
      <c r="B46" s="95" t="s">
        <v>132</v>
      </c>
      <c r="C46" s="64">
        <v>1</v>
      </c>
      <c r="D46" s="65">
        <v>33058</v>
      </c>
      <c r="E46" s="64"/>
      <c r="F46" s="65">
        <v>10909.140000000001</v>
      </c>
      <c r="G46" s="65">
        <v>33058</v>
      </c>
      <c r="H46" s="65">
        <v>33058</v>
      </c>
      <c r="I46" s="65">
        <v>396696</v>
      </c>
      <c r="J46" s="65">
        <v>5022.0955847031955</v>
      </c>
      <c r="K46" s="65">
        <v>953.33108538812769</v>
      </c>
      <c r="L46" s="65">
        <v>5975.4266700913231</v>
      </c>
      <c r="M46" s="65">
        <v>59754.266700913227</v>
      </c>
      <c r="N46" s="65">
        <v>16363.710000000003</v>
      </c>
      <c r="O46" s="65">
        <v>16363.710000000003</v>
      </c>
      <c r="P46" s="65">
        <v>17246.903010273963</v>
      </c>
      <c r="Q46" s="65">
        <v>14986.399130000002</v>
      </c>
      <c r="R46" s="65">
        <v>11900.880000000001</v>
      </c>
      <c r="S46" s="65">
        <v>69421.799999999988</v>
      </c>
      <c r="T46" s="65">
        <v>7933.92</v>
      </c>
      <c r="U46" s="65">
        <v>709.85474999999997</v>
      </c>
      <c r="V46" s="65">
        <v>8518.2569999999996</v>
      </c>
      <c r="W46" s="65">
        <v>709.85474999999997</v>
      </c>
      <c r="X46" s="65">
        <v>8518.2569999999996</v>
      </c>
      <c r="Y46" s="65">
        <v>0</v>
      </c>
      <c r="Z46" s="65">
        <v>16529</v>
      </c>
      <c r="AA46" s="3"/>
      <c r="AB46" s="42">
        <f t="shared" si="76"/>
        <v>1101.9333333333334</v>
      </c>
      <c r="AC46" s="60">
        <f t="shared" si="77"/>
        <v>0</v>
      </c>
      <c r="AD46" s="61">
        <f t="shared" si="78"/>
        <v>1101.9333333333334</v>
      </c>
      <c r="AE46" s="61">
        <f t="shared" si="79"/>
        <v>1267.9780821917809</v>
      </c>
      <c r="AF46" s="62">
        <f t="shared" si="80"/>
        <v>5620.9853999999996</v>
      </c>
      <c r="AG46" s="62">
        <f t="shared" si="81"/>
        <v>4181.6549500000001</v>
      </c>
      <c r="AH46" s="62">
        <f t="shared" si="82"/>
        <v>1520.6017999999999</v>
      </c>
      <c r="AI46" s="62">
        <f t="shared" si="83"/>
        <v>3663.1569800000007</v>
      </c>
      <c r="AJ46" s="62">
        <f t="shared" si="5"/>
        <v>13465.797330000001</v>
      </c>
      <c r="AK46" s="62">
        <f t="shared" si="6"/>
        <v>1520.6017999999999</v>
      </c>
      <c r="AL46" s="62">
        <f t="shared" si="7"/>
        <v>14986.399130000002</v>
      </c>
      <c r="AN46" s="27">
        <f t="shared" si="84"/>
        <v>6664.2108499999986</v>
      </c>
      <c r="AP46" s="66">
        <f t="shared" si="85"/>
        <v>57489.56670091323</v>
      </c>
      <c r="AQ46" s="55">
        <f t="shared" si="86"/>
        <v>4788.1721307061971</v>
      </c>
      <c r="AR46" s="16">
        <f t="shared" si="87"/>
        <v>39265.881630706193</v>
      </c>
      <c r="AS46" s="55">
        <f t="shared" si="88"/>
        <v>8100.662489211858</v>
      </c>
      <c r="AT46" s="55">
        <f t="shared" si="89"/>
        <v>6664.2108499999986</v>
      </c>
      <c r="AU46" s="55">
        <f t="shared" si="90"/>
        <v>1436.4516392118594</v>
      </c>
      <c r="AV46" s="16">
        <f t="shared" si="91"/>
        <v>44054.05376141239</v>
      </c>
      <c r="AW46" s="56">
        <f t="shared" si="92"/>
        <v>0.30000000000000004</v>
      </c>
      <c r="AX46" s="62">
        <f t="shared" si="93"/>
        <v>17246.870010273971</v>
      </c>
      <c r="AY46" s="62">
        <f t="shared" si="94"/>
        <v>17246.870010273971</v>
      </c>
      <c r="AZ46" s="16"/>
      <c r="BA46" s="16">
        <f t="shared" si="95"/>
        <v>96755.448331619424</v>
      </c>
      <c r="BB46" s="55">
        <f t="shared" si="96"/>
        <v>26301.086832750603</v>
      </c>
      <c r="BC46" s="55">
        <f t="shared" si="97"/>
        <v>6664.2108499999986</v>
      </c>
      <c r="BD46" s="55">
        <f t="shared" si="13"/>
        <v>19636.875982750604</v>
      </c>
      <c r="BE46" s="55">
        <f t="shared" si="30"/>
        <v>19636.875982750604</v>
      </c>
      <c r="BF46" s="56"/>
      <c r="BG46" s="62">
        <f t="shared" si="98"/>
        <v>413732.51399999997</v>
      </c>
      <c r="BH46" s="62">
        <f t="shared" si="99"/>
        <v>57489.56670091323</v>
      </c>
      <c r="BI46" s="62">
        <f t="shared" si="46"/>
        <v>471222.08070091321</v>
      </c>
      <c r="BJ46" s="55">
        <f t="shared" si="100"/>
        <v>97217.433210273943</v>
      </c>
      <c r="BK46" s="55">
        <f t="shared" si="101"/>
        <v>79970.530199999979</v>
      </c>
      <c r="BL46" s="55">
        <f t="shared" si="102"/>
        <v>17246.903010273963</v>
      </c>
      <c r="BM46" s="55">
        <f t="shared" si="103"/>
        <v>17246.903010273963</v>
      </c>
      <c r="BN46" s="67"/>
      <c r="BO46" s="89">
        <f t="shared" ref="BO46:BO55" si="104">+BP45+0.01</f>
        <v>5952.85</v>
      </c>
      <c r="BP46" s="89">
        <f>+BP18*$BO$41</f>
        <v>50524.92</v>
      </c>
      <c r="BQ46" s="89">
        <f>+BQ18*$BO$41</f>
        <v>114.24</v>
      </c>
      <c r="BR46" s="90">
        <v>6.4000000000000001E-2</v>
      </c>
    </row>
    <row r="47" spans="2:74" x14ac:dyDescent="0.2">
      <c r="B47" s="95" t="s">
        <v>133</v>
      </c>
      <c r="C47" s="64">
        <v>1</v>
      </c>
      <c r="D47" s="65">
        <v>33058</v>
      </c>
      <c r="E47" s="64"/>
      <c r="F47" s="65">
        <v>10909.140000000001</v>
      </c>
      <c r="G47" s="65">
        <v>33058</v>
      </c>
      <c r="H47" s="65">
        <v>33058</v>
      </c>
      <c r="I47" s="65">
        <v>396696</v>
      </c>
      <c r="J47" s="65">
        <v>5022.0955847031955</v>
      </c>
      <c r="K47" s="65">
        <v>953.33108538812769</v>
      </c>
      <c r="L47" s="65">
        <v>5975.4266700913231</v>
      </c>
      <c r="M47" s="65">
        <v>59754.266700913227</v>
      </c>
      <c r="N47" s="65">
        <v>16363.710000000003</v>
      </c>
      <c r="O47" s="65">
        <v>16363.710000000003</v>
      </c>
      <c r="P47" s="65">
        <v>17246.903010273963</v>
      </c>
      <c r="Q47" s="65">
        <v>14986.399130000002</v>
      </c>
      <c r="R47" s="65">
        <v>11900.880000000001</v>
      </c>
      <c r="S47" s="65">
        <v>69421.799999999988</v>
      </c>
      <c r="T47" s="65">
        <v>7933.92</v>
      </c>
      <c r="U47" s="65">
        <v>709.85474999999997</v>
      </c>
      <c r="V47" s="65">
        <v>8518.2569999999996</v>
      </c>
      <c r="W47" s="65">
        <v>709.85474999999997</v>
      </c>
      <c r="X47" s="65">
        <v>8518.2569999999996</v>
      </c>
      <c r="Y47" s="65">
        <v>0</v>
      </c>
      <c r="Z47" s="65">
        <v>16529</v>
      </c>
      <c r="AA47" s="3"/>
      <c r="AB47" s="42">
        <f t="shared" si="76"/>
        <v>1101.9333333333334</v>
      </c>
      <c r="AC47" s="60">
        <f t="shared" si="77"/>
        <v>0</v>
      </c>
      <c r="AD47" s="61">
        <f t="shared" si="78"/>
        <v>1101.9333333333334</v>
      </c>
      <c r="AE47" s="61">
        <f t="shared" si="79"/>
        <v>1267.9780821917809</v>
      </c>
      <c r="AF47" s="62">
        <f t="shared" si="80"/>
        <v>5620.9853999999996</v>
      </c>
      <c r="AG47" s="62">
        <f t="shared" si="81"/>
        <v>4181.6549500000001</v>
      </c>
      <c r="AH47" s="62">
        <f t="shared" si="82"/>
        <v>1520.6017999999999</v>
      </c>
      <c r="AI47" s="62">
        <f t="shared" si="83"/>
        <v>3663.1569800000007</v>
      </c>
      <c r="AJ47" s="62">
        <f t="shared" si="5"/>
        <v>13465.797330000001</v>
      </c>
      <c r="AK47" s="62">
        <f t="shared" si="6"/>
        <v>1520.6017999999999</v>
      </c>
      <c r="AL47" s="62">
        <f t="shared" si="7"/>
        <v>14986.399130000002</v>
      </c>
      <c r="AN47" s="27">
        <f t="shared" si="84"/>
        <v>6664.2108499999986</v>
      </c>
      <c r="AP47" s="66">
        <f t="shared" si="85"/>
        <v>57489.56670091323</v>
      </c>
      <c r="AQ47" s="55">
        <f t="shared" si="86"/>
        <v>4788.1721307061971</v>
      </c>
      <c r="AR47" s="16">
        <f t="shared" si="87"/>
        <v>39265.881630706193</v>
      </c>
      <c r="AS47" s="55">
        <f t="shared" si="88"/>
        <v>8100.662489211858</v>
      </c>
      <c r="AT47" s="55">
        <f t="shared" si="89"/>
        <v>6664.2108499999986</v>
      </c>
      <c r="AU47" s="55">
        <f t="shared" si="90"/>
        <v>1436.4516392118594</v>
      </c>
      <c r="AV47" s="16">
        <f t="shared" si="91"/>
        <v>44054.05376141239</v>
      </c>
      <c r="AW47" s="56">
        <f t="shared" si="92"/>
        <v>0.30000000000000004</v>
      </c>
      <c r="AX47" s="62">
        <f t="shared" si="93"/>
        <v>17246.870010273971</v>
      </c>
      <c r="AY47" s="62">
        <f t="shared" si="94"/>
        <v>17246.870010273971</v>
      </c>
      <c r="AZ47" s="16"/>
      <c r="BA47" s="16">
        <f t="shared" si="95"/>
        <v>96755.448331619424</v>
      </c>
      <c r="BB47" s="55">
        <f t="shared" si="96"/>
        <v>26301.086832750603</v>
      </c>
      <c r="BC47" s="55">
        <f t="shared" si="97"/>
        <v>6664.2108499999986</v>
      </c>
      <c r="BD47" s="55">
        <f t="shared" si="13"/>
        <v>19636.875982750604</v>
      </c>
      <c r="BE47" s="55">
        <f t="shared" si="30"/>
        <v>19636.875982750604</v>
      </c>
      <c r="BF47" s="56"/>
      <c r="BG47" s="62">
        <f t="shared" si="98"/>
        <v>413732.51399999997</v>
      </c>
      <c r="BH47" s="62">
        <f t="shared" si="99"/>
        <v>57489.56670091323</v>
      </c>
      <c r="BI47" s="62">
        <f t="shared" si="46"/>
        <v>471222.08070091321</v>
      </c>
      <c r="BJ47" s="55">
        <f t="shared" si="100"/>
        <v>97217.433210273943</v>
      </c>
      <c r="BK47" s="55">
        <f t="shared" si="101"/>
        <v>79970.530199999979</v>
      </c>
      <c r="BL47" s="55">
        <f t="shared" si="102"/>
        <v>17246.903010273963</v>
      </c>
      <c r="BM47" s="55">
        <f t="shared" si="103"/>
        <v>17246.903010273963</v>
      </c>
      <c r="BN47" s="67"/>
      <c r="BO47" s="89">
        <f t="shared" si="104"/>
        <v>50524.93</v>
      </c>
      <c r="BP47" s="89">
        <f>+BP19*$BO$41</f>
        <v>88793.040000000008</v>
      </c>
      <c r="BQ47" s="89">
        <f>+BQ19*$BO$41</f>
        <v>2966.88</v>
      </c>
      <c r="BR47" s="90">
        <v>0.10879999999999999</v>
      </c>
    </row>
    <row r="48" spans="2:74" x14ac:dyDescent="0.2">
      <c r="B48" s="96" t="s">
        <v>123</v>
      </c>
      <c r="C48" s="99">
        <v>2</v>
      </c>
      <c r="D48" s="65">
        <v>25429</v>
      </c>
      <c r="E48" s="99"/>
      <c r="F48" s="65">
        <v>8391.57</v>
      </c>
      <c r="G48" s="65">
        <v>25429</v>
      </c>
      <c r="H48" s="65">
        <v>50858</v>
      </c>
      <c r="I48" s="65">
        <v>610296</v>
      </c>
      <c r="J48" s="65">
        <v>3941.8591004908681</v>
      </c>
      <c r="K48" s="65">
        <v>744.67984134703181</v>
      </c>
      <c r="L48" s="65">
        <v>9373.0778836758</v>
      </c>
      <c r="M48" s="65">
        <v>93730.778836757992</v>
      </c>
      <c r="N48" s="65">
        <v>12587.355</v>
      </c>
      <c r="O48" s="65">
        <v>25174.71</v>
      </c>
      <c r="P48" s="65">
        <v>20980.216046405461</v>
      </c>
      <c r="Q48" s="65">
        <v>25077.879279999997</v>
      </c>
      <c r="R48" s="65">
        <v>18308.88</v>
      </c>
      <c r="S48" s="65">
        <v>106801.79999999999</v>
      </c>
      <c r="T48" s="65">
        <v>12205.92</v>
      </c>
      <c r="U48" s="65">
        <v>816.33296249999989</v>
      </c>
      <c r="V48" s="65">
        <v>19591.991099999999</v>
      </c>
      <c r="W48" s="65">
        <v>816.33296249999989</v>
      </c>
      <c r="X48" s="65">
        <v>19591.991099999999</v>
      </c>
      <c r="Y48" s="65">
        <v>0</v>
      </c>
      <c r="Z48" s="65">
        <v>25429</v>
      </c>
      <c r="AA48" s="3"/>
      <c r="AB48" s="42">
        <f t="shared" si="76"/>
        <v>847.63333333333333</v>
      </c>
      <c r="AC48" s="60">
        <f t="shared" si="77"/>
        <v>0</v>
      </c>
      <c r="AD48" s="61">
        <f t="shared" si="78"/>
        <v>847.63333333333333</v>
      </c>
      <c r="AE48" s="61">
        <f t="shared" si="79"/>
        <v>975.35890410958893</v>
      </c>
      <c r="AF48" s="62">
        <f t="shared" si="80"/>
        <v>5620.9853999999996</v>
      </c>
      <c r="AG48" s="62">
        <f t="shared" si="81"/>
        <v>3006.7889500000001</v>
      </c>
      <c r="AH48" s="62">
        <f t="shared" si="82"/>
        <v>1093.3778</v>
      </c>
      <c r="AI48" s="62">
        <f t="shared" si="83"/>
        <v>2817.7874899999997</v>
      </c>
      <c r="AJ48" s="62">
        <f t="shared" si="5"/>
        <v>11445.561839999998</v>
      </c>
      <c r="AK48" s="62">
        <f t="shared" si="6"/>
        <v>1093.3778</v>
      </c>
      <c r="AL48" s="62">
        <f t="shared" si="7"/>
        <v>12538.939639999999</v>
      </c>
      <c r="AN48" s="27">
        <f t="shared" si="84"/>
        <v>9614.2985311200009</v>
      </c>
      <c r="AP48" s="66">
        <f t="shared" si="85"/>
        <v>44600.689418378999</v>
      </c>
      <c r="AQ48" s="55">
        <f t="shared" si="86"/>
        <v>3714.6875570375933</v>
      </c>
      <c r="AR48" s="16">
        <f t="shared" si="87"/>
        <v>30776.353482037593</v>
      </c>
      <c r="AS48" s="55">
        <f t="shared" si="88"/>
        <v>5680.8437789752425</v>
      </c>
      <c r="AT48" s="55">
        <f t="shared" si="89"/>
        <v>4807.1492655600005</v>
      </c>
      <c r="AU48" s="55">
        <f t="shared" si="90"/>
        <v>873.694513415242</v>
      </c>
      <c r="AV48" s="16">
        <f t="shared" si="91"/>
        <v>34491.041039075186</v>
      </c>
      <c r="AW48" s="56">
        <f t="shared" si="92"/>
        <v>0.23520000000000002</v>
      </c>
      <c r="AX48" s="62">
        <f t="shared" si="93"/>
        <v>10490.082151202741</v>
      </c>
      <c r="AY48" s="62">
        <f t="shared" si="94"/>
        <v>20980.164302405483</v>
      </c>
      <c r="AZ48" s="16"/>
      <c r="BA48" s="16">
        <f t="shared" si="95"/>
        <v>75377.042900416593</v>
      </c>
      <c r="BB48" s="55">
        <f t="shared" si="96"/>
        <v>19191.55052813331</v>
      </c>
      <c r="BC48" s="55">
        <f t="shared" si="97"/>
        <v>4807.1492655600005</v>
      </c>
      <c r="BD48" s="55">
        <f t="shared" si="13"/>
        <v>14384.401262573308</v>
      </c>
      <c r="BE48" s="55">
        <f t="shared" si="30"/>
        <v>28768.802525146617</v>
      </c>
      <c r="BF48" s="56"/>
      <c r="BG48" s="62">
        <f t="shared" si="98"/>
        <v>324739.99109999998</v>
      </c>
      <c r="BH48" s="62">
        <f t="shared" si="99"/>
        <v>44600.689418378999</v>
      </c>
      <c r="BI48" s="62">
        <f t="shared" si="46"/>
        <v>369340.68051837897</v>
      </c>
      <c r="BJ48" s="55">
        <f t="shared" si="100"/>
        <v>68175.899209922733</v>
      </c>
      <c r="BK48" s="55">
        <f t="shared" si="101"/>
        <v>57685.791186720002</v>
      </c>
      <c r="BL48" s="55">
        <f t="shared" si="102"/>
        <v>10490.108023202731</v>
      </c>
      <c r="BM48" s="55">
        <f t="shared" si="103"/>
        <v>20980.216046405461</v>
      </c>
      <c r="BN48" s="67"/>
      <c r="BO48" s="89">
        <f t="shared" si="104"/>
        <v>88793.05</v>
      </c>
      <c r="BP48" s="89">
        <f>+BP20*$BO$41</f>
        <v>103218</v>
      </c>
      <c r="BQ48" s="89">
        <f>+BQ20*$BO$41</f>
        <v>7130.52</v>
      </c>
      <c r="BR48" s="90">
        <v>0.16</v>
      </c>
    </row>
    <row r="49" spans="2:70" x14ac:dyDescent="0.2">
      <c r="B49" s="96" t="s">
        <v>134</v>
      </c>
      <c r="C49" s="99">
        <v>1</v>
      </c>
      <c r="D49" s="65">
        <v>25429</v>
      </c>
      <c r="E49" s="99"/>
      <c r="F49" s="65">
        <v>8391.57</v>
      </c>
      <c r="G49" s="65">
        <v>25429</v>
      </c>
      <c r="H49" s="65">
        <v>25429</v>
      </c>
      <c r="I49" s="65">
        <v>305148</v>
      </c>
      <c r="J49" s="65">
        <v>3941.8591004908681</v>
      </c>
      <c r="K49" s="65">
        <v>744.67984134703181</v>
      </c>
      <c r="L49" s="65">
        <v>4686.5389418379</v>
      </c>
      <c r="M49" s="65">
        <v>46865.389418378996</v>
      </c>
      <c r="N49" s="65">
        <v>12587.355</v>
      </c>
      <c r="O49" s="65">
        <v>12587.355</v>
      </c>
      <c r="P49" s="65">
        <v>10490.108023202731</v>
      </c>
      <c r="Q49" s="65">
        <v>12538.939639999999</v>
      </c>
      <c r="R49" s="65">
        <v>9154.44</v>
      </c>
      <c r="S49" s="65">
        <v>53400.899999999994</v>
      </c>
      <c r="T49" s="65">
        <v>6102.96</v>
      </c>
      <c r="U49" s="65">
        <v>816.33296249999989</v>
      </c>
      <c r="V49" s="65">
        <v>9795.9955499999996</v>
      </c>
      <c r="W49" s="65">
        <v>816.33296249999989</v>
      </c>
      <c r="X49" s="65">
        <v>9795.9955499999996</v>
      </c>
      <c r="Y49" s="65">
        <v>0</v>
      </c>
      <c r="Z49" s="65">
        <v>12714.5</v>
      </c>
      <c r="AA49" s="3"/>
      <c r="AB49" s="42">
        <f t="shared" si="76"/>
        <v>847.63333333333333</v>
      </c>
      <c r="AC49" s="60">
        <f t="shared" si="77"/>
        <v>0</v>
      </c>
      <c r="AD49" s="61">
        <f t="shared" si="78"/>
        <v>847.63333333333333</v>
      </c>
      <c r="AE49" s="61">
        <f t="shared" si="79"/>
        <v>975.35890410958893</v>
      </c>
      <c r="AF49" s="62">
        <f t="shared" si="80"/>
        <v>5620.9853999999996</v>
      </c>
      <c r="AG49" s="62">
        <f t="shared" si="81"/>
        <v>3006.7889500000001</v>
      </c>
      <c r="AH49" s="62">
        <f t="shared" si="82"/>
        <v>1093.3778</v>
      </c>
      <c r="AI49" s="62">
        <f t="shared" si="83"/>
        <v>2817.7874899999997</v>
      </c>
      <c r="AJ49" s="62">
        <f t="shared" si="5"/>
        <v>11445.561839999998</v>
      </c>
      <c r="AK49" s="62">
        <f t="shared" si="6"/>
        <v>1093.3778</v>
      </c>
      <c r="AL49" s="62">
        <f t="shared" si="7"/>
        <v>12538.939639999999</v>
      </c>
      <c r="AN49" s="27">
        <f t="shared" si="84"/>
        <v>4807.1492655600005</v>
      </c>
      <c r="AP49" s="66">
        <f t="shared" si="85"/>
        <v>44600.689418378999</v>
      </c>
      <c r="AQ49" s="55">
        <f t="shared" si="86"/>
        <v>3714.6875570375933</v>
      </c>
      <c r="AR49" s="16">
        <f t="shared" si="87"/>
        <v>30776.353482037593</v>
      </c>
      <c r="AS49" s="55">
        <f t="shared" si="88"/>
        <v>5680.8437789752425</v>
      </c>
      <c r="AT49" s="55">
        <f t="shared" si="89"/>
        <v>4807.1492655600005</v>
      </c>
      <c r="AU49" s="55">
        <f t="shared" si="90"/>
        <v>873.694513415242</v>
      </c>
      <c r="AV49" s="16">
        <f t="shared" si="91"/>
        <v>34491.041039075186</v>
      </c>
      <c r="AW49" s="56">
        <f t="shared" si="92"/>
        <v>0.23520000000000002</v>
      </c>
      <c r="AX49" s="62">
        <f t="shared" si="93"/>
        <v>10490.082151202741</v>
      </c>
      <c r="AY49" s="62">
        <f t="shared" si="94"/>
        <v>10490.082151202741</v>
      </c>
      <c r="AZ49" s="16"/>
      <c r="BA49" s="16">
        <f t="shared" si="95"/>
        <v>75377.042900416593</v>
      </c>
      <c r="BB49" s="55">
        <f t="shared" si="96"/>
        <v>19191.55052813331</v>
      </c>
      <c r="BC49" s="55">
        <f t="shared" si="97"/>
        <v>4807.1492655600005</v>
      </c>
      <c r="BD49" s="55">
        <f t="shared" si="13"/>
        <v>14384.401262573308</v>
      </c>
      <c r="BE49" s="55">
        <f t="shared" si="30"/>
        <v>14384.401262573308</v>
      </c>
      <c r="BF49" s="56"/>
      <c r="BG49" s="62">
        <f t="shared" si="98"/>
        <v>324739.99109999998</v>
      </c>
      <c r="BH49" s="62">
        <f t="shared" si="99"/>
        <v>44600.689418378999</v>
      </c>
      <c r="BI49" s="62">
        <f t="shared" si="46"/>
        <v>369340.68051837897</v>
      </c>
      <c r="BJ49" s="55">
        <f t="shared" si="100"/>
        <v>68175.899209922733</v>
      </c>
      <c r="BK49" s="55">
        <f t="shared" si="101"/>
        <v>57685.791186720002</v>
      </c>
      <c r="BL49" s="55">
        <f t="shared" si="102"/>
        <v>10490.108023202731</v>
      </c>
      <c r="BM49" s="55">
        <f t="shared" si="103"/>
        <v>10490.108023202731</v>
      </c>
      <c r="BN49" s="67"/>
      <c r="BO49" s="89">
        <f t="shared" si="104"/>
        <v>103218.01</v>
      </c>
      <c r="BP49" s="89">
        <f>+BP21*$BO$41</f>
        <v>123580.20000000001</v>
      </c>
      <c r="BQ49" s="89">
        <f>+BQ21*$BO$41</f>
        <v>9438.48</v>
      </c>
      <c r="BR49" s="92">
        <v>0.1792</v>
      </c>
    </row>
    <row r="50" spans="2:70" x14ac:dyDescent="0.2">
      <c r="B50" s="95" t="s">
        <v>135</v>
      </c>
      <c r="C50" s="64">
        <v>1</v>
      </c>
      <c r="D50" s="65">
        <v>14000</v>
      </c>
      <c r="E50" s="64"/>
      <c r="F50" s="65">
        <v>4620</v>
      </c>
      <c r="G50" s="65">
        <v>14000</v>
      </c>
      <c r="H50" s="65">
        <v>14000</v>
      </c>
      <c r="I50" s="65">
        <v>168000</v>
      </c>
      <c r="J50" s="65">
        <v>2413.832044460331</v>
      </c>
      <c r="K50" s="65">
        <v>445.11719007591324</v>
      </c>
      <c r="L50" s="65">
        <v>2858.9492345362441</v>
      </c>
      <c r="M50" s="65">
        <v>28589.492345362443</v>
      </c>
      <c r="N50" s="65">
        <v>6930</v>
      </c>
      <c r="O50" s="65">
        <v>6930</v>
      </c>
      <c r="P50" s="65">
        <v>5622.9991409694267</v>
      </c>
      <c r="Q50" s="65">
        <v>8994.2600370769069</v>
      </c>
      <c r="R50" s="65">
        <v>5040</v>
      </c>
      <c r="S50" s="65">
        <v>29400</v>
      </c>
      <c r="T50" s="65">
        <v>3360</v>
      </c>
      <c r="U50" s="65">
        <v>1285.7244159375</v>
      </c>
      <c r="V50" s="65">
        <v>15428.69299125</v>
      </c>
      <c r="W50" s="65">
        <v>1285.7244159375</v>
      </c>
      <c r="X50" s="65">
        <v>15428.69299125</v>
      </c>
      <c r="Y50" s="65">
        <v>0</v>
      </c>
      <c r="Z50" s="65">
        <v>7000</v>
      </c>
      <c r="AA50" s="3"/>
      <c r="AB50" s="42">
        <f t="shared" si="76"/>
        <v>466.66666666666669</v>
      </c>
      <c r="AC50" s="60">
        <f t="shared" si="77"/>
        <v>12.66148053125</v>
      </c>
      <c r="AD50" s="61">
        <f t="shared" si="78"/>
        <v>479.32814719791668</v>
      </c>
      <c r="AE50" s="61">
        <f t="shared" si="79"/>
        <v>551.5556762277397</v>
      </c>
      <c r="AF50" s="62">
        <f t="shared" si="80"/>
        <v>5620.9853999999996</v>
      </c>
      <c r="AG50" s="62">
        <f t="shared" si="81"/>
        <v>1305.2189900543749</v>
      </c>
      <c r="AH50" s="62">
        <f t="shared" si="82"/>
        <v>474.62508729249998</v>
      </c>
      <c r="AI50" s="62">
        <f t="shared" si="83"/>
        <v>1593.4305597300342</v>
      </c>
      <c r="AJ50" s="62">
        <f t="shared" si="5"/>
        <v>8519.6349497844076</v>
      </c>
      <c r="AK50" s="62">
        <f t="shared" si="6"/>
        <v>474.62508729249998</v>
      </c>
      <c r="AL50" s="62">
        <f t="shared" si="7"/>
        <v>8994.2600370769069</v>
      </c>
      <c r="AN50" s="27">
        <f t="shared" si="84"/>
        <v>2430.5417744884999</v>
      </c>
      <c r="AP50" s="66">
        <f t="shared" si="85"/>
        <v>26324.792345362443</v>
      </c>
      <c r="AQ50" s="55">
        <f t="shared" si="86"/>
        <v>2192.5306501342966</v>
      </c>
      <c r="AR50" s="16">
        <f t="shared" si="87"/>
        <v>18763.979482009297</v>
      </c>
      <c r="AS50" s="55">
        <f t="shared" si="88"/>
        <v>2898.8663213571858</v>
      </c>
      <c r="AT50" s="55">
        <f t="shared" si="89"/>
        <v>2430.5417744884999</v>
      </c>
      <c r="AU50" s="55">
        <f t="shared" si="90"/>
        <v>468.32454686868596</v>
      </c>
      <c r="AV50" s="16">
        <f t="shared" si="91"/>
        <v>20956.510132143594</v>
      </c>
      <c r="AW50" s="56">
        <f t="shared" si="92"/>
        <v>0.2136000000000001</v>
      </c>
      <c r="AX50" s="62">
        <f t="shared" si="93"/>
        <v>5622.9756449694205</v>
      </c>
      <c r="AY50" s="62">
        <f t="shared" si="94"/>
        <v>5622.9756449694205</v>
      </c>
      <c r="AZ50" s="16"/>
      <c r="BA50" s="16">
        <f t="shared" si="95"/>
        <v>45088.77182737174</v>
      </c>
      <c r="BB50" s="55">
        <f t="shared" si="96"/>
        <v>9847.5295482115216</v>
      </c>
      <c r="BC50" s="55">
        <f t="shared" si="97"/>
        <v>2430.5417744884999</v>
      </c>
      <c r="BD50" s="55">
        <f t="shared" si="13"/>
        <v>7416.9877737230217</v>
      </c>
      <c r="BE50" s="55">
        <f t="shared" si="30"/>
        <v>7416.9877737230217</v>
      </c>
      <c r="BF50" s="56"/>
      <c r="BG50" s="62">
        <f t="shared" si="98"/>
        <v>198857.38598250001</v>
      </c>
      <c r="BH50" s="62">
        <f t="shared" si="99"/>
        <v>26324.792345362443</v>
      </c>
      <c r="BI50" s="62">
        <f t="shared" si="46"/>
        <v>225182.17832786246</v>
      </c>
      <c r="BJ50" s="55">
        <f t="shared" si="100"/>
        <v>34789.500434831425</v>
      </c>
      <c r="BK50" s="55">
        <f t="shared" si="101"/>
        <v>29166.501293861998</v>
      </c>
      <c r="BL50" s="55">
        <f t="shared" si="102"/>
        <v>5622.9991409694267</v>
      </c>
      <c r="BM50" s="55">
        <f t="shared" si="103"/>
        <v>5622.9991409694267</v>
      </c>
      <c r="BN50" s="67"/>
      <c r="BO50" s="89">
        <f t="shared" si="104"/>
        <v>123580.21</v>
      </c>
      <c r="BP50" s="89">
        <f t="shared" ref="BP50:BQ54" si="105">+BP34*$BO$41</f>
        <v>249243.48</v>
      </c>
      <c r="BQ50" s="89">
        <f t="shared" si="105"/>
        <v>13087.32</v>
      </c>
      <c r="BR50" s="90">
        <v>0.21360000000000001</v>
      </c>
    </row>
    <row r="51" spans="2:70" x14ac:dyDescent="0.2">
      <c r="B51" s="75" t="s">
        <v>91</v>
      </c>
      <c r="C51" s="76">
        <v>9</v>
      </c>
      <c r="D51" s="100">
        <v>310148</v>
      </c>
      <c r="E51" s="76"/>
      <c r="F51" s="100"/>
      <c r="G51" s="100">
        <v>310148</v>
      </c>
      <c r="H51" s="100">
        <v>335577</v>
      </c>
      <c r="I51" s="100">
        <v>4026924</v>
      </c>
      <c r="J51" s="100"/>
      <c r="K51" s="100"/>
      <c r="L51" s="100">
        <v>60575.5717917851</v>
      </c>
      <c r="M51" s="100">
        <v>605755.71791785094</v>
      </c>
      <c r="N51" s="100"/>
      <c r="O51" s="100">
        <v>166110.61500000005</v>
      </c>
      <c r="P51" s="100">
        <v>171916.92712633102</v>
      </c>
      <c r="Q51" s="100">
        <v>131902.22428457689</v>
      </c>
      <c r="R51" s="100">
        <v>120807.72000000002</v>
      </c>
      <c r="S51" s="100">
        <v>704711.7</v>
      </c>
      <c r="T51" s="100">
        <v>72647.039999999994</v>
      </c>
      <c r="U51" s="100">
        <v>6143.7195909375005</v>
      </c>
      <c r="V51" s="100">
        <v>83520.630641249998</v>
      </c>
      <c r="W51" s="100">
        <v>6143.7195909375005</v>
      </c>
      <c r="X51" s="100">
        <v>83520.630641249998</v>
      </c>
      <c r="Y51" s="100">
        <v>0</v>
      </c>
      <c r="Z51" s="100">
        <v>94730.5</v>
      </c>
      <c r="AA51" s="42"/>
      <c r="AB51" s="42"/>
      <c r="AC51" s="60"/>
      <c r="AD51" s="61"/>
      <c r="AE51" s="61"/>
      <c r="AF51" s="62"/>
      <c r="AG51" s="62"/>
      <c r="AH51" s="62"/>
      <c r="AI51" s="62"/>
      <c r="AJ51" s="62"/>
      <c r="AK51" s="62"/>
      <c r="AL51" s="62"/>
      <c r="AN51" s="27"/>
      <c r="AP51" s="55"/>
      <c r="AQ51" s="55"/>
      <c r="AR51" s="16"/>
      <c r="AS51" s="16"/>
      <c r="AT51" s="55"/>
      <c r="AU51" s="55"/>
      <c r="AV51" s="55"/>
      <c r="AW51" s="93"/>
      <c r="AX51" s="62"/>
      <c r="AY51" s="62"/>
      <c r="AZ51" s="16"/>
      <c r="BA51" s="16"/>
      <c r="BB51" s="55"/>
      <c r="BC51" s="55"/>
      <c r="BD51" s="55"/>
      <c r="BE51" s="55">
        <f t="shared" si="30"/>
        <v>0</v>
      </c>
      <c r="BF51" s="56"/>
      <c r="BG51" s="62"/>
      <c r="BH51" s="62"/>
      <c r="BI51" s="62"/>
      <c r="BJ51" s="55"/>
      <c r="BK51" s="55"/>
      <c r="BL51" s="55"/>
      <c r="BM51" s="55"/>
      <c r="BN51" s="67"/>
      <c r="BO51" s="89">
        <f t="shared" si="104"/>
        <v>249243.49000000002</v>
      </c>
      <c r="BP51" s="89">
        <f t="shared" si="105"/>
        <v>392841.96</v>
      </c>
      <c r="BQ51" s="89">
        <f t="shared" si="105"/>
        <v>39929.040000000001</v>
      </c>
      <c r="BR51" s="90">
        <v>0.23519999999999999</v>
      </c>
    </row>
    <row r="52" spans="2:70" x14ac:dyDescent="0.2">
      <c r="B52" s="101" t="s">
        <v>136</v>
      </c>
      <c r="C52" s="102"/>
      <c r="D52" s="103"/>
      <c r="E52" s="102"/>
      <c r="F52" s="103"/>
      <c r="G52" s="103"/>
      <c r="H52" s="103"/>
      <c r="I52" s="103"/>
      <c r="J52" s="103"/>
      <c r="K52" s="103"/>
      <c r="L52" s="103"/>
      <c r="M52" s="103"/>
      <c r="N52" s="65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3"/>
      <c r="AB52" s="42"/>
      <c r="AC52" s="60"/>
      <c r="AD52" s="61"/>
      <c r="AE52" s="61"/>
      <c r="AF52" s="62"/>
      <c r="AG52" s="62"/>
      <c r="AH52" s="62"/>
      <c r="AI52" s="62"/>
      <c r="AJ52" s="62"/>
      <c r="AK52" s="62"/>
      <c r="AL52" s="62"/>
      <c r="AN52" s="27"/>
      <c r="AP52" s="55"/>
      <c r="AQ52" s="55"/>
      <c r="AR52" s="16"/>
      <c r="AS52" s="16"/>
      <c r="AT52" s="55"/>
      <c r="AU52" s="55"/>
      <c r="AV52" s="55"/>
      <c r="AW52" s="93"/>
      <c r="AX52" s="62"/>
      <c r="AY52" s="62"/>
      <c r="AZ52" s="16"/>
      <c r="BA52" s="16"/>
      <c r="BB52" s="55"/>
      <c r="BC52" s="55"/>
      <c r="BD52" s="55"/>
      <c r="BE52" s="55">
        <f t="shared" si="30"/>
        <v>0</v>
      </c>
      <c r="BF52" s="56"/>
      <c r="BG52" s="62"/>
      <c r="BH52" s="62"/>
      <c r="BI52" s="62"/>
      <c r="BJ52" s="55"/>
      <c r="BK52" s="55"/>
      <c r="BL52" s="55"/>
      <c r="BM52" s="55"/>
      <c r="BN52" s="67"/>
      <c r="BO52" s="89">
        <f t="shared" si="104"/>
        <v>392841.97000000003</v>
      </c>
      <c r="BP52" s="89">
        <f t="shared" si="105"/>
        <v>750000</v>
      </c>
      <c r="BQ52" s="89">
        <f t="shared" si="105"/>
        <v>73703.399999999994</v>
      </c>
      <c r="BR52" s="90">
        <v>0.3</v>
      </c>
    </row>
    <row r="53" spans="2:70" x14ac:dyDescent="0.2">
      <c r="B53" s="95" t="s">
        <v>137</v>
      </c>
      <c r="C53" s="64">
        <v>1</v>
      </c>
      <c r="D53" s="65">
        <v>80000</v>
      </c>
      <c r="E53" s="64"/>
      <c r="F53" s="65">
        <v>26400</v>
      </c>
      <c r="G53" s="65">
        <v>80000</v>
      </c>
      <c r="H53" s="65">
        <v>80000</v>
      </c>
      <c r="I53" s="65">
        <v>960000</v>
      </c>
      <c r="J53" s="65">
        <v>11792.366666666667</v>
      </c>
      <c r="K53" s="65">
        <v>2254.9872146118719</v>
      </c>
      <c r="L53" s="65">
        <v>14047.353881278539</v>
      </c>
      <c r="M53" s="65">
        <v>140473.53881278538</v>
      </c>
      <c r="N53" s="65">
        <v>39600</v>
      </c>
      <c r="O53" s="65">
        <v>39600</v>
      </c>
      <c r="P53" s="65">
        <v>46420.773796347057</v>
      </c>
      <c r="Q53" s="65">
        <v>20165.973968749997</v>
      </c>
      <c r="R53" s="65">
        <v>28800</v>
      </c>
      <c r="S53" s="65">
        <v>168000</v>
      </c>
      <c r="T53" s="65">
        <v>13588.199999999999</v>
      </c>
      <c r="U53" s="65">
        <v>478.50000000000006</v>
      </c>
      <c r="V53" s="65">
        <v>5742.0000000000009</v>
      </c>
      <c r="W53" s="65">
        <v>478.50000000000006</v>
      </c>
      <c r="X53" s="65">
        <v>5742.0000000000009</v>
      </c>
      <c r="Y53" s="65">
        <v>0</v>
      </c>
      <c r="Z53" s="65">
        <v>0</v>
      </c>
      <c r="AA53" s="3"/>
      <c r="AB53" s="42">
        <f t="shared" ref="AB53:AB61" si="106">+G53/30</f>
        <v>2666.6666666666665</v>
      </c>
      <c r="AC53" s="60">
        <f t="shared" ref="AC53:AC61" si="107">IF(((U53/30)&lt;$AH$4),0,((U53/30)-$AH$4))</f>
        <v>0</v>
      </c>
      <c r="AD53" s="61">
        <f t="shared" ref="AD53:AD61" si="108">+AB53+AC53</f>
        <v>2666.6666666666665</v>
      </c>
      <c r="AE53" s="61">
        <f t="shared" ref="AE53:AE61" si="109">IF((AD53*$AH$3)&gt;$AI$6,$AI$6,(AD53*$AH$3))</f>
        <v>1887.2499999999998</v>
      </c>
      <c r="AF53" s="62">
        <f t="shared" ref="AF53:AF61" si="110">+$AL$1*$AL$2*$AF$9</f>
        <v>5620.9853999999996</v>
      </c>
      <c r="AG53" s="62">
        <f t="shared" ref="AG53:AG61" si="111">+IF(AE53&gt;($AH$6*3),(AE53-($AH$6*3))*$AG$8,0)*$AG$9</f>
        <v>6668.0316999999986</v>
      </c>
      <c r="AH53" s="62">
        <f t="shared" ref="AH53:AH61" si="112">+IF(AE53&gt;($AH$6*3),(AE53-($AH$6*3))*$AH$8,0)*$AH$9</f>
        <v>2424.7387999999996</v>
      </c>
      <c r="AI53" s="62">
        <f t="shared" ref="AI53:AI61" si="113">+(AE53*$AI$9)*$AI$8</f>
        <v>5452.2180687499995</v>
      </c>
      <c r="AJ53" s="62">
        <f t="shared" si="5"/>
        <v>17741.235168749998</v>
      </c>
      <c r="AK53" s="62">
        <f t="shared" si="6"/>
        <v>2424.7387999999996</v>
      </c>
      <c r="AL53" s="62">
        <f t="shared" si="7"/>
        <v>20165.973968749997</v>
      </c>
      <c r="AN53" s="27">
        <f t="shared" ref="AN53:AN61" si="114">+AT53*C53</f>
        <v>20977.1368</v>
      </c>
      <c r="AP53" s="66">
        <f t="shared" ref="AP53:AP61" si="115">+((M53/C53)-($AL$2*30))</f>
        <v>138208.83881278537</v>
      </c>
      <c r="AQ53" s="55">
        <f t="shared" ref="AQ53:AQ61" si="116">+AP53/365*30.4</f>
        <v>11511.092328516917</v>
      </c>
      <c r="AR53" s="16">
        <f t="shared" ref="AR53:AR61" si="117">+G53+U53+W53+AQ53</f>
        <v>92468.092328516912</v>
      </c>
      <c r="AS53" s="55">
        <f t="shared" ref="AS53:AS61" si="118">((AR53-VLOOKUP(AR53,$BO$17:$BR$39,1))*VLOOKUP(AR53,$BO$17:$BR$39,4)+VLOOKUP(AR53,$BO$17:$BR$39,3))-VLOOKUP(AR53,$BT$17:$BV$39,3)</f>
        <v>24843.38579169575</v>
      </c>
      <c r="AT53" s="55">
        <f t="shared" ref="AT53:AT61" si="119">(((G53+U53+W53)-VLOOKUP((G53+U53+W53),$BO$17:$BR$39,1))*VLOOKUP((G53+U53+W53),$BO$17:$BR$39,4)+VLOOKUP((G53+U53+W53),$BO$17:$BR$39,3))-VLOOKUP((G53+U53+W53),$BT$17:$BV$39,3)</f>
        <v>20977.1368</v>
      </c>
      <c r="AU53" s="55">
        <f t="shared" ref="AU53:AU61" si="120">+AS53-AT53</f>
        <v>3866.2489916957493</v>
      </c>
      <c r="AV53" s="16">
        <f t="shared" ref="AV53:AV61" si="121">+AR53+AQ53</f>
        <v>103979.18465703382</v>
      </c>
      <c r="AW53" s="56">
        <f t="shared" ref="AW53:AW61" si="122">+(AU53/AQ53)</f>
        <v>0.33587159944132555</v>
      </c>
      <c r="AX53" s="62">
        <f t="shared" ref="AX53:AX61" si="123">+AP53*AW53</f>
        <v>46420.423748978574</v>
      </c>
      <c r="AY53" s="62">
        <f t="shared" ref="AY53:AY61" si="124">+AX53*C53</f>
        <v>46420.423748978574</v>
      </c>
      <c r="AZ53" s="16"/>
      <c r="BA53" s="16">
        <f t="shared" ref="BA53:BA61" si="125">+AP53+AR53</f>
        <v>230676.93114130228</v>
      </c>
      <c r="BB53" s="55">
        <f t="shared" ref="BB53:BB61" si="126">((BA53-VLOOKUP(BA53,$BO$17:$BR$39,1))*VLOOKUP(BA53,$BO$17:$BR$39,4)+VLOOKUP(BA53,$BO$17:$BR$39,3))-VLOOKUP(BA53,$BT$17:$BV$39,3)</f>
        <v>71834.390988042782</v>
      </c>
      <c r="BC53" s="55">
        <f t="shared" ref="BC53:BC61" si="127">+AT53</f>
        <v>20977.1368</v>
      </c>
      <c r="BD53" s="55">
        <f t="shared" si="13"/>
        <v>50857.254188042782</v>
      </c>
      <c r="BE53" s="55">
        <f t="shared" si="30"/>
        <v>50857.254188042782</v>
      </c>
      <c r="BF53" s="56"/>
      <c r="BG53" s="62">
        <f t="shared" ref="BG53:BG61" si="128">+(G53+U53+W53)*12</f>
        <v>971484</v>
      </c>
      <c r="BH53" s="62">
        <f t="shared" ref="BH53:BH61" si="129">+AP53</f>
        <v>138208.83881278537</v>
      </c>
      <c r="BI53" s="62">
        <f t="shared" si="46"/>
        <v>1109692.8388127855</v>
      </c>
      <c r="BJ53" s="55">
        <f t="shared" ref="BJ53:BJ61" si="130">((BI53-VLOOKUP(BI53,$BO$45:$BR$61,1))*VLOOKUP(BI53,$BO$45:$BR$61,4)+VLOOKUP(BI53,$BO$45:$BR$61,3))</f>
        <v>298146.41539634706</v>
      </c>
      <c r="BK53" s="55">
        <f t="shared" ref="BK53:BK61" si="131">+AT53*12</f>
        <v>251725.6416</v>
      </c>
      <c r="BL53" s="55">
        <f t="shared" ref="BL53:BL61" si="132">+BJ53-BK53</f>
        <v>46420.773796347057</v>
      </c>
      <c r="BM53" s="55">
        <f t="shared" ref="BM53:BM61" si="133">+BL53*C53</f>
        <v>46420.773796347057</v>
      </c>
      <c r="BN53" s="67"/>
      <c r="BO53" s="89">
        <f t="shared" si="104"/>
        <v>750000.01</v>
      </c>
      <c r="BP53" s="89">
        <f t="shared" si="105"/>
        <v>999999.96</v>
      </c>
      <c r="BQ53" s="89">
        <f t="shared" si="105"/>
        <v>180850.8</v>
      </c>
      <c r="BR53" s="90">
        <v>0.32</v>
      </c>
    </row>
    <row r="54" spans="2:70" x14ac:dyDescent="0.2">
      <c r="B54" s="95" t="s">
        <v>138</v>
      </c>
      <c r="C54" s="64">
        <v>1</v>
      </c>
      <c r="D54" s="65">
        <v>33058</v>
      </c>
      <c r="E54" s="64"/>
      <c r="F54" s="65">
        <v>10909.140000000001</v>
      </c>
      <c r="G54" s="65">
        <v>33058</v>
      </c>
      <c r="H54" s="65">
        <v>33058</v>
      </c>
      <c r="I54" s="65">
        <v>396696</v>
      </c>
      <c r="J54" s="65">
        <v>5022.0955847031955</v>
      </c>
      <c r="K54" s="65">
        <v>953.33108538812769</v>
      </c>
      <c r="L54" s="65">
        <v>5975.4266700913231</v>
      </c>
      <c r="M54" s="65">
        <v>59754.266700913227</v>
      </c>
      <c r="N54" s="65">
        <v>16363.710000000003</v>
      </c>
      <c r="O54" s="65">
        <v>16363.710000000003</v>
      </c>
      <c r="P54" s="65">
        <v>17246.903010273963</v>
      </c>
      <c r="Q54" s="65">
        <v>14986.399130000002</v>
      </c>
      <c r="R54" s="65">
        <v>11900.880000000001</v>
      </c>
      <c r="S54" s="65">
        <v>69421.799999999988</v>
      </c>
      <c r="T54" s="65">
        <v>7933.92</v>
      </c>
      <c r="U54" s="65">
        <v>709.85474999999997</v>
      </c>
      <c r="V54" s="65">
        <v>8518.2569999999996</v>
      </c>
      <c r="W54" s="65">
        <v>709.85474999999997</v>
      </c>
      <c r="X54" s="65">
        <v>8518.2569999999996</v>
      </c>
      <c r="Y54" s="65">
        <v>0</v>
      </c>
      <c r="Z54" s="65">
        <v>16529</v>
      </c>
      <c r="AA54" s="3"/>
      <c r="AB54" s="42">
        <f t="shared" si="106"/>
        <v>1101.9333333333334</v>
      </c>
      <c r="AC54" s="60">
        <f t="shared" si="107"/>
        <v>0</v>
      </c>
      <c r="AD54" s="61">
        <f t="shared" si="108"/>
        <v>1101.9333333333334</v>
      </c>
      <c r="AE54" s="61">
        <f t="shared" si="109"/>
        <v>1267.9780821917809</v>
      </c>
      <c r="AF54" s="62">
        <f t="shared" si="110"/>
        <v>5620.9853999999996</v>
      </c>
      <c r="AG54" s="62">
        <f t="shared" si="111"/>
        <v>4181.6549500000001</v>
      </c>
      <c r="AH54" s="62">
        <f t="shared" si="112"/>
        <v>1520.6017999999999</v>
      </c>
      <c r="AI54" s="62">
        <f t="shared" si="113"/>
        <v>3663.1569800000007</v>
      </c>
      <c r="AJ54" s="62">
        <f t="shared" si="5"/>
        <v>13465.797330000001</v>
      </c>
      <c r="AK54" s="62">
        <f t="shared" si="6"/>
        <v>1520.6017999999999</v>
      </c>
      <c r="AL54" s="62">
        <f t="shared" si="7"/>
        <v>14986.399130000002</v>
      </c>
      <c r="AN54" s="27">
        <f t="shared" si="114"/>
        <v>6664.2108499999986</v>
      </c>
      <c r="AP54" s="66">
        <f t="shared" si="115"/>
        <v>57489.56670091323</v>
      </c>
      <c r="AQ54" s="55">
        <f t="shared" si="116"/>
        <v>4788.1721307061971</v>
      </c>
      <c r="AR54" s="16">
        <f t="shared" si="117"/>
        <v>39265.881630706193</v>
      </c>
      <c r="AS54" s="55">
        <f t="shared" si="118"/>
        <v>8100.662489211858</v>
      </c>
      <c r="AT54" s="55">
        <f t="shared" si="119"/>
        <v>6664.2108499999986</v>
      </c>
      <c r="AU54" s="55">
        <f t="shared" si="120"/>
        <v>1436.4516392118594</v>
      </c>
      <c r="AV54" s="16">
        <f t="shared" si="121"/>
        <v>44054.05376141239</v>
      </c>
      <c r="AW54" s="56">
        <f t="shared" si="122"/>
        <v>0.30000000000000004</v>
      </c>
      <c r="AX54" s="62">
        <f t="shared" si="123"/>
        <v>17246.870010273971</v>
      </c>
      <c r="AY54" s="62">
        <f t="shared" si="124"/>
        <v>17246.870010273971</v>
      </c>
      <c r="AZ54" s="16"/>
      <c r="BA54" s="16">
        <f t="shared" si="125"/>
        <v>96755.448331619424</v>
      </c>
      <c r="BB54" s="55">
        <f t="shared" si="126"/>
        <v>26301.086832750603</v>
      </c>
      <c r="BC54" s="55">
        <f t="shared" si="127"/>
        <v>6664.2108499999986</v>
      </c>
      <c r="BD54" s="55">
        <f t="shared" si="13"/>
        <v>19636.875982750604</v>
      </c>
      <c r="BE54" s="55">
        <f t="shared" si="30"/>
        <v>19636.875982750604</v>
      </c>
      <c r="BF54" s="56"/>
      <c r="BG54" s="62">
        <f t="shared" si="128"/>
        <v>413732.51399999997</v>
      </c>
      <c r="BH54" s="62">
        <f t="shared" si="129"/>
        <v>57489.56670091323</v>
      </c>
      <c r="BI54" s="62">
        <f t="shared" si="46"/>
        <v>471222.08070091321</v>
      </c>
      <c r="BJ54" s="55">
        <f t="shared" si="130"/>
        <v>97217.433210273943</v>
      </c>
      <c r="BK54" s="55">
        <f t="shared" si="131"/>
        <v>79970.530199999979</v>
      </c>
      <c r="BL54" s="55">
        <f t="shared" si="132"/>
        <v>17246.903010273963</v>
      </c>
      <c r="BM54" s="55">
        <f t="shared" si="133"/>
        <v>17246.903010273963</v>
      </c>
      <c r="BN54" s="67"/>
      <c r="BO54" s="89">
        <f t="shared" si="104"/>
        <v>999999.97</v>
      </c>
      <c r="BP54" s="89">
        <f t="shared" si="105"/>
        <v>3000000</v>
      </c>
      <c r="BQ54" s="89">
        <f t="shared" si="105"/>
        <v>260850.84</v>
      </c>
      <c r="BR54" s="90">
        <v>0.34</v>
      </c>
    </row>
    <row r="55" spans="2:70" ht="13.5" thickBot="1" x14ac:dyDescent="0.25">
      <c r="B55" s="95" t="s">
        <v>139</v>
      </c>
      <c r="C55" s="64">
        <v>1</v>
      </c>
      <c r="D55" s="65">
        <v>33058</v>
      </c>
      <c r="E55" s="64"/>
      <c r="F55" s="65">
        <v>10909.140000000001</v>
      </c>
      <c r="G55" s="65">
        <v>33058</v>
      </c>
      <c r="H55" s="65">
        <v>33058</v>
      </c>
      <c r="I55" s="65">
        <v>396696</v>
      </c>
      <c r="J55" s="65">
        <v>5022.0955847031955</v>
      </c>
      <c r="K55" s="65">
        <v>953.33108538812769</v>
      </c>
      <c r="L55" s="65">
        <v>5975.4266700913231</v>
      </c>
      <c r="M55" s="65">
        <v>59754.266700913227</v>
      </c>
      <c r="N55" s="65">
        <v>16363.710000000003</v>
      </c>
      <c r="O55" s="65">
        <v>16363.710000000003</v>
      </c>
      <c r="P55" s="65">
        <v>17246.903010273963</v>
      </c>
      <c r="Q55" s="65">
        <v>14986.399130000002</v>
      </c>
      <c r="R55" s="65">
        <v>11900.880000000001</v>
      </c>
      <c r="S55" s="65">
        <v>69421.799999999988</v>
      </c>
      <c r="T55" s="65">
        <v>7933.92</v>
      </c>
      <c r="U55" s="65">
        <v>709.85474999999997</v>
      </c>
      <c r="V55" s="65">
        <v>8518.2569999999996</v>
      </c>
      <c r="W55" s="65">
        <v>709.85474999999997</v>
      </c>
      <c r="X55" s="65">
        <v>8518.2569999999996</v>
      </c>
      <c r="Y55" s="65">
        <v>0</v>
      </c>
      <c r="Z55" s="65">
        <v>16529</v>
      </c>
      <c r="AA55" s="3"/>
      <c r="AB55" s="42">
        <f t="shared" si="106"/>
        <v>1101.9333333333334</v>
      </c>
      <c r="AC55" s="60">
        <f t="shared" si="107"/>
        <v>0</v>
      </c>
      <c r="AD55" s="61">
        <f t="shared" si="108"/>
        <v>1101.9333333333334</v>
      </c>
      <c r="AE55" s="61">
        <f t="shared" si="109"/>
        <v>1267.9780821917809</v>
      </c>
      <c r="AF55" s="62">
        <f t="shared" si="110"/>
        <v>5620.9853999999996</v>
      </c>
      <c r="AG55" s="62">
        <f t="shared" si="111"/>
        <v>4181.6549500000001</v>
      </c>
      <c r="AH55" s="62">
        <f t="shared" si="112"/>
        <v>1520.6017999999999</v>
      </c>
      <c r="AI55" s="62">
        <f t="shared" si="113"/>
        <v>3663.1569800000007</v>
      </c>
      <c r="AJ55" s="62">
        <f t="shared" si="5"/>
        <v>13465.797330000001</v>
      </c>
      <c r="AK55" s="62">
        <f t="shared" si="6"/>
        <v>1520.6017999999999</v>
      </c>
      <c r="AL55" s="62">
        <f t="shared" si="7"/>
        <v>14986.399130000002</v>
      </c>
      <c r="AN55" s="27">
        <f t="shared" si="114"/>
        <v>6664.2108499999986</v>
      </c>
      <c r="AP55" s="66">
        <f t="shared" si="115"/>
        <v>57489.56670091323</v>
      </c>
      <c r="AQ55" s="55">
        <f t="shared" si="116"/>
        <v>4788.1721307061971</v>
      </c>
      <c r="AR55" s="16">
        <f t="shared" si="117"/>
        <v>39265.881630706193</v>
      </c>
      <c r="AS55" s="55">
        <f t="shared" si="118"/>
        <v>8100.662489211858</v>
      </c>
      <c r="AT55" s="55">
        <f t="shared" si="119"/>
        <v>6664.2108499999986</v>
      </c>
      <c r="AU55" s="55">
        <f t="shared" si="120"/>
        <v>1436.4516392118594</v>
      </c>
      <c r="AV55" s="16">
        <f t="shared" si="121"/>
        <v>44054.05376141239</v>
      </c>
      <c r="AW55" s="56">
        <f t="shared" si="122"/>
        <v>0.30000000000000004</v>
      </c>
      <c r="AX55" s="62">
        <f t="shared" si="123"/>
        <v>17246.870010273971</v>
      </c>
      <c r="AY55" s="62">
        <f t="shared" si="124"/>
        <v>17246.870010273971</v>
      </c>
      <c r="AZ55" s="16"/>
      <c r="BA55" s="16">
        <f t="shared" si="125"/>
        <v>96755.448331619424</v>
      </c>
      <c r="BB55" s="55">
        <f t="shared" si="126"/>
        <v>26301.086832750603</v>
      </c>
      <c r="BC55" s="55">
        <f t="shared" si="127"/>
        <v>6664.2108499999986</v>
      </c>
      <c r="BD55" s="55">
        <f t="shared" si="13"/>
        <v>19636.875982750604</v>
      </c>
      <c r="BE55" s="55">
        <f t="shared" si="30"/>
        <v>19636.875982750604</v>
      </c>
      <c r="BF55" s="56"/>
      <c r="BG55" s="62">
        <f t="shared" si="128"/>
        <v>413732.51399999997</v>
      </c>
      <c r="BH55" s="62">
        <f t="shared" si="129"/>
        <v>57489.56670091323</v>
      </c>
      <c r="BI55" s="62">
        <f t="shared" si="46"/>
        <v>471222.08070091321</v>
      </c>
      <c r="BJ55" s="55">
        <f t="shared" si="130"/>
        <v>97217.433210273943</v>
      </c>
      <c r="BK55" s="55">
        <f t="shared" si="131"/>
        <v>79970.530199999979</v>
      </c>
      <c r="BL55" s="55">
        <f t="shared" si="132"/>
        <v>17246.903010273963</v>
      </c>
      <c r="BM55" s="55">
        <f t="shared" si="133"/>
        <v>17246.903010273963</v>
      </c>
      <c r="BN55" s="67"/>
      <c r="BO55" s="89">
        <f t="shared" si="104"/>
        <v>3000000.01</v>
      </c>
      <c r="BP55" s="97" t="s">
        <v>126</v>
      </c>
      <c r="BQ55" s="97">
        <f>+BQ39*$BO$41</f>
        <v>940850.76</v>
      </c>
      <c r="BR55" s="98">
        <v>0.35</v>
      </c>
    </row>
    <row r="56" spans="2:70" ht="13.5" thickTop="1" x14ac:dyDescent="0.2">
      <c r="B56" s="95" t="s">
        <v>140</v>
      </c>
      <c r="C56" s="64">
        <v>1</v>
      </c>
      <c r="D56" s="65">
        <v>33058</v>
      </c>
      <c r="E56" s="64"/>
      <c r="F56" s="65">
        <v>10909.140000000001</v>
      </c>
      <c r="G56" s="65">
        <v>33058</v>
      </c>
      <c r="H56" s="65">
        <v>33058</v>
      </c>
      <c r="I56" s="65">
        <v>396696</v>
      </c>
      <c r="J56" s="65">
        <v>5022.0955847031955</v>
      </c>
      <c r="K56" s="65">
        <v>953.33108538812769</v>
      </c>
      <c r="L56" s="65">
        <v>5975.4266700913231</v>
      </c>
      <c r="M56" s="65">
        <v>59754.266700913227</v>
      </c>
      <c r="N56" s="65">
        <v>16363.710000000003</v>
      </c>
      <c r="O56" s="65">
        <v>16363.710000000003</v>
      </c>
      <c r="P56" s="65">
        <v>17246.903010273963</v>
      </c>
      <c r="Q56" s="65">
        <v>14986.399130000002</v>
      </c>
      <c r="R56" s="65">
        <v>11900.880000000001</v>
      </c>
      <c r="S56" s="65">
        <v>69421.799999999988</v>
      </c>
      <c r="T56" s="65">
        <v>7933.92</v>
      </c>
      <c r="U56" s="65">
        <v>709.85474999999997</v>
      </c>
      <c r="V56" s="65">
        <v>8518.2569999999996</v>
      </c>
      <c r="W56" s="65">
        <v>709.85474999999997</v>
      </c>
      <c r="X56" s="65">
        <v>8518.2569999999996</v>
      </c>
      <c r="Y56" s="65">
        <v>0</v>
      </c>
      <c r="Z56" s="65">
        <v>16529</v>
      </c>
      <c r="AA56" s="3"/>
      <c r="AB56" s="42">
        <f t="shared" si="106"/>
        <v>1101.9333333333334</v>
      </c>
      <c r="AC56" s="60">
        <f t="shared" si="107"/>
        <v>0</v>
      </c>
      <c r="AD56" s="61">
        <f t="shared" si="108"/>
        <v>1101.9333333333334</v>
      </c>
      <c r="AE56" s="61">
        <f t="shared" si="109"/>
        <v>1267.9780821917809</v>
      </c>
      <c r="AF56" s="62">
        <f t="shared" si="110"/>
        <v>5620.9853999999996</v>
      </c>
      <c r="AG56" s="62">
        <f t="shared" si="111"/>
        <v>4181.6549500000001</v>
      </c>
      <c r="AH56" s="62">
        <f t="shared" si="112"/>
        <v>1520.6017999999999</v>
      </c>
      <c r="AI56" s="62">
        <f t="shared" si="113"/>
        <v>3663.1569800000007</v>
      </c>
      <c r="AJ56" s="62">
        <f t="shared" si="5"/>
        <v>13465.797330000001</v>
      </c>
      <c r="AK56" s="62">
        <f t="shared" si="6"/>
        <v>1520.6017999999999</v>
      </c>
      <c r="AL56" s="62">
        <f t="shared" si="7"/>
        <v>14986.399130000002</v>
      </c>
      <c r="AN56" s="27">
        <f t="shared" si="114"/>
        <v>6664.2108499999986</v>
      </c>
      <c r="AP56" s="66">
        <f t="shared" si="115"/>
        <v>57489.56670091323</v>
      </c>
      <c r="AQ56" s="55">
        <f t="shared" si="116"/>
        <v>4788.1721307061971</v>
      </c>
      <c r="AR56" s="16">
        <f t="shared" si="117"/>
        <v>39265.881630706193</v>
      </c>
      <c r="AS56" s="55">
        <f t="shared" si="118"/>
        <v>8100.662489211858</v>
      </c>
      <c r="AT56" s="55">
        <f t="shared" si="119"/>
        <v>6664.2108499999986</v>
      </c>
      <c r="AU56" s="55">
        <f t="shared" si="120"/>
        <v>1436.4516392118594</v>
      </c>
      <c r="AV56" s="16">
        <f t="shared" si="121"/>
        <v>44054.05376141239</v>
      </c>
      <c r="AW56" s="56">
        <f t="shared" si="122"/>
        <v>0.30000000000000004</v>
      </c>
      <c r="AX56" s="62">
        <f t="shared" si="123"/>
        <v>17246.870010273971</v>
      </c>
      <c r="AY56" s="62">
        <f t="shared" si="124"/>
        <v>17246.870010273971</v>
      </c>
      <c r="AZ56" s="16"/>
      <c r="BA56" s="16">
        <f t="shared" si="125"/>
        <v>96755.448331619424</v>
      </c>
      <c r="BB56" s="55">
        <f t="shared" si="126"/>
        <v>26301.086832750603</v>
      </c>
      <c r="BC56" s="55">
        <f t="shared" si="127"/>
        <v>6664.2108499999986</v>
      </c>
      <c r="BD56" s="55">
        <f t="shared" si="13"/>
        <v>19636.875982750604</v>
      </c>
      <c r="BE56" s="55">
        <f t="shared" si="30"/>
        <v>19636.875982750604</v>
      </c>
      <c r="BF56" s="56"/>
      <c r="BG56" s="62">
        <f t="shared" si="128"/>
        <v>413732.51399999997</v>
      </c>
      <c r="BH56" s="62">
        <f t="shared" si="129"/>
        <v>57489.56670091323</v>
      </c>
      <c r="BI56" s="62">
        <f t="shared" si="46"/>
        <v>471222.08070091321</v>
      </c>
      <c r="BJ56" s="55">
        <f t="shared" si="130"/>
        <v>97217.433210273943</v>
      </c>
      <c r="BK56" s="55">
        <f t="shared" si="131"/>
        <v>79970.530199999979</v>
      </c>
      <c r="BL56" s="55">
        <f t="shared" si="132"/>
        <v>17246.903010273963</v>
      </c>
      <c r="BM56" s="55">
        <f t="shared" si="133"/>
        <v>17246.903010273963</v>
      </c>
      <c r="BN56" s="67"/>
      <c r="BO56" s="89"/>
      <c r="BP56" s="89"/>
      <c r="BQ56" s="89"/>
      <c r="BR56" s="90"/>
    </row>
    <row r="57" spans="2:70" x14ac:dyDescent="0.2">
      <c r="B57" s="95" t="s">
        <v>134</v>
      </c>
      <c r="C57" s="64">
        <v>6</v>
      </c>
      <c r="D57" s="65">
        <v>25429</v>
      </c>
      <c r="E57" s="64"/>
      <c r="F57" s="65">
        <v>8391.57</v>
      </c>
      <c r="G57" s="65">
        <v>25429</v>
      </c>
      <c r="H57" s="65">
        <v>152574</v>
      </c>
      <c r="I57" s="65">
        <v>1830888</v>
      </c>
      <c r="J57" s="65">
        <v>3941.8591004908681</v>
      </c>
      <c r="K57" s="65">
        <v>744.67984134703181</v>
      </c>
      <c r="L57" s="65">
        <v>28119.2336510274</v>
      </c>
      <c r="M57" s="65">
        <v>281192.33651027398</v>
      </c>
      <c r="N57" s="65">
        <v>12587.355</v>
      </c>
      <c r="O57" s="65">
        <v>75524.13</v>
      </c>
      <c r="P57" s="65">
        <v>62940.648139216384</v>
      </c>
      <c r="Q57" s="65">
        <v>75233.637839999996</v>
      </c>
      <c r="R57" s="65">
        <v>54926.64</v>
      </c>
      <c r="S57" s="65">
        <v>320405.39999999997</v>
      </c>
      <c r="T57" s="65">
        <v>36617.760000000002</v>
      </c>
      <c r="U57" s="65">
        <v>816.33296249999989</v>
      </c>
      <c r="V57" s="65">
        <v>58775.973299999998</v>
      </c>
      <c r="W57" s="65">
        <v>816.33296249999989</v>
      </c>
      <c r="X57" s="65">
        <v>58775.973299999998</v>
      </c>
      <c r="Y57" s="65">
        <v>0</v>
      </c>
      <c r="Z57" s="65">
        <v>76287</v>
      </c>
      <c r="AA57" s="3"/>
      <c r="AB57" s="42">
        <f t="shared" si="106"/>
        <v>847.63333333333333</v>
      </c>
      <c r="AC57" s="60">
        <f t="shared" si="107"/>
        <v>0</v>
      </c>
      <c r="AD57" s="61">
        <f t="shared" si="108"/>
        <v>847.63333333333333</v>
      </c>
      <c r="AE57" s="61">
        <f t="shared" si="109"/>
        <v>975.35890410958893</v>
      </c>
      <c r="AF57" s="62">
        <f t="shared" si="110"/>
        <v>5620.9853999999996</v>
      </c>
      <c r="AG57" s="62">
        <f t="shared" si="111"/>
        <v>3006.7889500000001</v>
      </c>
      <c r="AH57" s="62">
        <f t="shared" si="112"/>
        <v>1093.3778</v>
      </c>
      <c r="AI57" s="62">
        <f t="shared" si="113"/>
        <v>2817.7874899999997</v>
      </c>
      <c r="AJ57" s="62">
        <f t="shared" si="5"/>
        <v>11445.561839999998</v>
      </c>
      <c r="AK57" s="62">
        <f t="shared" si="6"/>
        <v>1093.3778</v>
      </c>
      <c r="AL57" s="62">
        <f t="shared" si="7"/>
        <v>12538.939639999999</v>
      </c>
      <c r="AN57" s="27">
        <f t="shared" si="114"/>
        <v>28842.895593360001</v>
      </c>
      <c r="AP57" s="66">
        <f t="shared" si="115"/>
        <v>44600.689418378999</v>
      </c>
      <c r="AQ57" s="55">
        <f t="shared" si="116"/>
        <v>3714.6875570375933</v>
      </c>
      <c r="AR57" s="16">
        <f t="shared" si="117"/>
        <v>30776.353482037593</v>
      </c>
      <c r="AS57" s="55">
        <f t="shared" si="118"/>
        <v>5680.8437789752425</v>
      </c>
      <c r="AT57" s="55">
        <f t="shared" si="119"/>
        <v>4807.1492655600005</v>
      </c>
      <c r="AU57" s="55">
        <f t="shared" si="120"/>
        <v>873.694513415242</v>
      </c>
      <c r="AV57" s="16">
        <f t="shared" si="121"/>
        <v>34491.041039075186</v>
      </c>
      <c r="AW57" s="56">
        <f t="shared" si="122"/>
        <v>0.23520000000000002</v>
      </c>
      <c r="AX57" s="62">
        <f t="shared" si="123"/>
        <v>10490.082151202741</v>
      </c>
      <c r="AY57" s="62">
        <f t="shared" si="124"/>
        <v>62940.492907216452</v>
      </c>
      <c r="AZ57" s="16"/>
      <c r="BA57" s="16">
        <f t="shared" si="125"/>
        <v>75377.042900416593</v>
      </c>
      <c r="BB57" s="55">
        <f t="shared" si="126"/>
        <v>19191.55052813331</v>
      </c>
      <c r="BC57" s="55">
        <f t="shared" si="127"/>
        <v>4807.1492655600005</v>
      </c>
      <c r="BD57" s="55">
        <f t="shared" si="13"/>
        <v>14384.401262573308</v>
      </c>
      <c r="BE57" s="55">
        <f t="shared" si="30"/>
        <v>86306.407575439851</v>
      </c>
      <c r="BF57" s="56"/>
      <c r="BG57" s="62">
        <f t="shared" si="128"/>
        <v>324739.99109999998</v>
      </c>
      <c r="BH57" s="62">
        <f t="shared" si="129"/>
        <v>44600.689418378999</v>
      </c>
      <c r="BI57" s="62">
        <f t="shared" si="46"/>
        <v>369340.68051837897</v>
      </c>
      <c r="BJ57" s="55">
        <f t="shared" si="130"/>
        <v>68175.899209922733</v>
      </c>
      <c r="BK57" s="55">
        <f t="shared" si="131"/>
        <v>57685.791186720002</v>
      </c>
      <c r="BL57" s="55">
        <f t="shared" si="132"/>
        <v>10490.108023202731</v>
      </c>
      <c r="BM57" s="55">
        <f t="shared" si="133"/>
        <v>62940.648139216384</v>
      </c>
      <c r="BN57" s="67"/>
      <c r="BO57" s="89"/>
      <c r="BP57" s="89"/>
      <c r="BQ57" s="89"/>
      <c r="BR57" s="90"/>
    </row>
    <row r="58" spans="2:70" x14ac:dyDescent="0.2">
      <c r="B58" s="95" t="s">
        <v>135</v>
      </c>
      <c r="C58" s="64">
        <v>1</v>
      </c>
      <c r="D58" s="65">
        <v>14000</v>
      </c>
      <c r="E58" s="104"/>
      <c r="F58" s="65">
        <v>4620</v>
      </c>
      <c r="G58" s="65">
        <v>14000</v>
      </c>
      <c r="H58" s="65">
        <v>14000</v>
      </c>
      <c r="I58" s="65">
        <v>168000</v>
      </c>
      <c r="J58" s="65">
        <v>2413.832044460331</v>
      </c>
      <c r="K58" s="65">
        <v>445.11719007591324</v>
      </c>
      <c r="L58" s="65">
        <v>2858.9492345362441</v>
      </c>
      <c r="M58" s="65">
        <v>28589.492345362443</v>
      </c>
      <c r="N58" s="65">
        <v>6930</v>
      </c>
      <c r="O58" s="65">
        <v>6930</v>
      </c>
      <c r="P58" s="65">
        <v>5622.9991409694267</v>
      </c>
      <c r="Q58" s="65">
        <v>8994.2600370769069</v>
      </c>
      <c r="R58" s="65">
        <v>5040</v>
      </c>
      <c r="S58" s="65">
        <v>29400</v>
      </c>
      <c r="T58" s="65">
        <v>3360</v>
      </c>
      <c r="U58" s="65">
        <v>1285.7244159375</v>
      </c>
      <c r="V58" s="65">
        <v>15428.69299125</v>
      </c>
      <c r="W58" s="65">
        <v>1285.7244159375</v>
      </c>
      <c r="X58" s="65">
        <v>15428.69299125</v>
      </c>
      <c r="Y58" s="65">
        <v>0</v>
      </c>
      <c r="Z58" s="65">
        <v>7000</v>
      </c>
      <c r="AA58" s="3"/>
      <c r="AB58" s="42">
        <f t="shared" si="106"/>
        <v>466.66666666666669</v>
      </c>
      <c r="AC58" s="60">
        <f t="shared" si="107"/>
        <v>12.66148053125</v>
      </c>
      <c r="AD58" s="61">
        <f t="shared" si="108"/>
        <v>479.32814719791668</v>
      </c>
      <c r="AE58" s="61">
        <f t="shared" si="109"/>
        <v>551.5556762277397</v>
      </c>
      <c r="AF58" s="62">
        <f t="shared" si="110"/>
        <v>5620.9853999999996</v>
      </c>
      <c r="AG58" s="62">
        <f t="shared" si="111"/>
        <v>1305.2189900543749</v>
      </c>
      <c r="AH58" s="62">
        <f t="shared" si="112"/>
        <v>474.62508729249998</v>
      </c>
      <c r="AI58" s="62">
        <f t="shared" si="113"/>
        <v>1593.4305597300342</v>
      </c>
      <c r="AJ58" s="62">
        <f t="shared" si="5"/>
        <v>8519.6349497844076</v>
      </c>
      <c r="AK58" s="62">
        <f t="shared" si="6"/>
        <v>474.62508729249998</v>
      </c>
      <c r="AL58" s="62">
        <f t="shared" si="7"/>
        <v>8994.2600370769069</v>
      </c>
      <c r="AN58" s="27">
        <f t="shared" si="114"/>
        <v>2430.5417744884999</v>
      </c>
      <c r="AP58" s="66">
        <f t="shared" si="115"/>
        <v>26324.792345362443</v>
      </c>
      <c r="AQ58" s="55">
        <f t="shared" si="116"/>
        <v>2192.5306501342966</v>
      </c>
      <c r="AR58" s="16">
        <f t="shared" si="117"/>
        <v>18763.979482009297</v>
      </c>
      <c r="AS58" s="55">
        <f t="shared" si="118"/>
        <v>2898.8663213571858</v>
      </c>
      <c r="AT58" s="55">
        <f t="shared" si="119"/>
        <v>2430.5417744884999</v>
      </c>
      <c r="AU58" s="55">
        <f t="shared" si="120"/>
        <v>468.32454686868596</v>
      </c>
      <c r="AV58" s="16">
        <f t="shared" si="121"/>
        <v>20956.510132143594</v>
      </c>
      <c r="AW58" s="56">
        <f t="shared" si="122"/>
        <v>0.2136000000000001</v>
      </c>
      <c r="AX58" s="62">
        <f t="shared" si="123"/>
        <v>5622.9756449694205</v>
      </c>
      <c r="AY58" s="62">
        <f t="shared" si="124"/>
        <v>5622.9756449694205</v>
      </c>
      <c r="AZ58" s="16"/>
      <c r="BA58" s="16">
        <f t="shared" si="125"/>
        <v>45088.77182737174</v>
      </c>
      <c r="BB58" s="55">
        <f t="shared" si="126"/>
        <v>9847.5295482115216</v>
      </c>
      <c r="BC58" s="55">
        <f t="shared" si="127"/>
        <v>2430.5417744884999</v>
      </c>
      <c r="BD58" s="55">
        <f t="shared" si="13"/>
        <v>7416.9877737230217</v>
      </c>
      <c r="BE58" s="55">
        <f t="shared" si="30"/>
        <v>7416.9877737230217</v>
      </c>
      <c r="BF58" s="56"/>
      <c r="BG58" s="62">
        <f t="shared" si="128"/>
        <v>198857.38598250001</v>
      </c>
      <c r="BH58" s="62">
        <f t="shared" si="129"/>
        <v>26324.792345362443</v>
      </c>
      <c r="BI58" s="62">
        <f t="shared" si="46"/>
        <v>225182.17832786246</v>
      </c>
      <c r="BJ58" s="55">
        <f t="shared" si="130"/>
        <v>34789.500434831425</v>
      </c>
      <c r="BK58" s="55">
        <f t="shared" si="131"/>
        <v>29166.501293861998</v>
      </c>
      <c r="BL58" s="55">
        <f t="shared" si="132"/>
        <v>5622.9991409694267</v>
      </c>
      <c r="BM58" s="55">
        <f t="shared" si="133"/>
        <v>5622.9991409694267</v>
      </c>
      <c r="BN58" s="67"/>
      <c r="BO58" s="89"/>
      <c r="BP58" s="89"/>
      <c r="BQ58" s="89"/>
      <c r="BR58" s="90"/>
    </row>
    <row r="59" spans="2:70" x14ac:dyDescent="0.2">
      <c r="B59" s="95" t="s">
        <v>141</v>
      </c>
      <c r="C59" s="64">
        <v>1</v>
      </c>
      <c r="D59" s="65">
        <v>14000</v>
      </c>
      <c r="E59" s="105"/>
      <c r="F59" s="65">
        <v>4620</v>
      </c>
      <c r="G59" s="65">
        <v>14000</v>
      </c>
      <c r="H59" s="65">
        <v>14000</v>
      </c>
      <c r="I59" s="65">
        <v>168000</v>
      </c>
      <c r="J59" s="65">
        <v>2413.832044460331</v>
      </c>
      <c r="K59" s="65">
        <v>445.11719007591324</v>
      </c>
      <c r="L59" s="65">
        <v>2858.9492345362441</v>
      </c>
      <c r="M59" s="65">
        <v>28589.492345362443</v>
      </c>
      <c r="N59" s="65">
        <v>6930</v>
      </c>
      <c r="O59" s="65">
        <v>6930</v>
      </c>
      <c r="P59" s="65">
        <v>5622.9991409694267</v>
      </c>
      <c r="Q59" s="65">
        <v>8994.2600370769069</v>
      </c>
      <c r="R59" s="65">
        <v>5040</v>
      </c>
      <c r="S59" s="65">
        <v>29400</v>
      </c>
      <c r="T59" s="65">
        <v>3360</v>
      </c>
      <c r="U59" s="65">
        <v>1285.7244159375</v>
      </c>
      <c r="V59" s="65">
        <v>15428.69299125</v>
      </c>
      <c r="W59" s="65">
        <v>1285.7244159375</v>
      </c>
      <c r="X59" s="65">
        <v>15428.69299125</v>
      </c>
      <c r="Y59" s="65">
        <v>0</v>
      </c>
      <c r="Z59" s="65">
        <v>7000</v>
      </c>
      <c r="AA59" s="3"/>
      <c r="AB59" s="42">
        <f t="shared" si="106"/>
        <v>466.66666666666669</v>
      </c>
      <c r="AC59" s="60">
        <f t="shared" si="107"/>
        <v>12.66148053125</v>
      </c>
      <c r="AD59" s="61">
        <f t="shared" si="108"/>
        <v>479.32814719791668</v>
      </c>
      <c r="AE59" s="61">
        <f t="shared" si="109"/>
        <v>551.5556762277397</v>
      </c>
      <c r="AF59" s="62">
        <f t="shared" si="110"/>
        <v>5620.9853999999996</v>
      </c>
      <c r="AG59" s="62">
        <f t="shared" si="111"/>
        <v>1305.2189900543749</v>
      </c>
      <c r="AH59" s="62">
        <f t="shared" si="112"/>
        <v>474.62508729249998</v>
      </c>
      <c r="AI59" s="62">
        <f t="shared" si="113"/>
        <v>1593.4305597300342</v>
      </c>
      <c r="AJ59" s="62">
        <f t="shared" si="5"/>
        <v>8519.6349497844076</v>
      </c>
      <c r="AK59" s="62">
        <f t="shared" si="6"/>
        <v>474.62508729249998</v>
      </c>
      <c r="AL59" s="62">
        <f t="shared" si="7"/>
        <v>8994.2600370769069</v>
      </c>
      <c r="AN59" s="27">
        <f t="shared" si="114"/>
        <v>2430.5417744884999</v>
      </c>
      <c r="AP59" s="66">
        <f t="shared" si="115"/>
        <v>26324.792345362443</v>
      </c>
      <c r="AQ59" s="55">
        <f t="shared" si="116"/>
        <v>2192.5306501342966</v>
      </c>
      <c r="AR59" s="16">
        <f t="shared" si="117"/>
        <v>18763.979482009297</v>
      </c>
      <c r="AS59" s="55">
        <f t="shared" si="118"/>
        <v>2898.8663213571858</v>
      </c>
      <c r="AT59" s="55">
        <f t="shared" si="119"/>
        <v>2430.5417744884999</v>
      </c>
      <c r="AU59" s="55">
        <f t="shared" si="120"/>
        <v>468.32454686868596</v>
      </c>
      <c r="AV59" s="16">
        <f t="shared" si="121"/>
        <v>20956.510132143594</v>
      </c>
      <c r="AW59" s="56">
        <f t="shared" si="122"/>
        <v>0.2136000000000001</v>
      </c>
      <c r="AX59" s="62">
        <f t="shared" si="123"/>
        <v>5622.9756449694205</v>
      </c>
      <c r="AY59" s="62">
        <f t="shared" si="124"/>
        <v>5622.9756449694205</v>
      </c>
      <c r="AZ59" s="16"/>
      <c r="BA59" s="16">
        <f t="shared" si="125"/>
        <v>45088.77182737174</v>
      </c>
      <c r="BB59" s="55">
        <f t="shared" si="126"/>
        <v>9847.5295482115216</v>
      </c>
      <c r="BC59" s="55">
        <f t="shared" si="127"/>
        <v>2430.5417744884999</v>
      </c>
      <c r="BD59" s="55">
        <f t="shared" si="13"/>
        <v>7416.9877737230217</v>
      </c>
      <c r="BE59" s="55">
        <f t="shared" si="30"/>
        <v>7416.9877737230217</v>
      </c>
      <c r="BF59" s="56"/>
      <c r="BG59" s="62">
        <f t="shared" si="128"/>
        <v>198857.38598250001</v>
      </c>
      <c r="BH59" s="62">
        <f t="shared" si="129"/>
        <v>26324.792345362443</v>
      </c>
      <c r="BI59" s="62">
        <f t="shared" si="46"/>
        <v>225182.17832786246</v>
      </c>
      <c r="BJ59" s="55">
        <f t="shared" si="130"/>
        <v>34789.500434831425</v>
      </c>
      <c r="BK59" s="55">
        <f t="shared" si="131"/>
        <v>29166.501293861998</v>
      </c>
      <c r="BL59" s="55">
        <f t="shared" si="132"/>
        <v>5622.9991409694267</v>
      </c>
      <c r="BM59" s="55">
        <f t="shared" si="133"/>
        <v>5622.9991409694267</v>
      </c>
      <c r="BN59" s="67"/>
      <c r="BO59" s="89"/>
      <c r="BP59" s="89"/>
      <c r="BQ59" s="89"/>
      <c r="BR59" s="90"/>
    </row>
    <row r="60" spans="2:70" x14ac:dyDescent="0.2">
      <c r="B60" s="95" t="s">
        <v>142</v>
      </c>
      <c r="C60" s="64">
        <v>6</v>
      </c>
      <c r="D60" s="65">
        <v>12200</v>
      </c>
      <c r="E60" s="105"/>
      <c r="F60" s="65">
        <v>4026</v>
      </c>
      <c r="G60" s="65">
        <v>12200</v>
      </c>
      <c r="H60" s="65">
        <v>73200</v>
      </c>
      <c r="I60" s="65">
        <v>878400</v>
      </c>
      <c r="J60" s="65">
        <v>2170.3683955417955</v>
      </c>
      <c r="K60" s="65">
        <v>397.53286693130713</v>
      </c>
      <c r="L60" s="65">
        <v>15407.407574838617</v>
      </c>
      <c r="M60" s="65">
        <v>154074.07574838615</v>
      </c>
      <c r="N60" s="65">
        <v>6039</v>
      </c>
      <c r="O60" s="65">
        <v>36234</v>
      </c>
      <c r="P60" s="65">
        <v>30007.924035855271</v>
      </c>
      <c r="Q60" s="65">
        <v>50624.554197424528</v>
      </c>
      <c r="R60" s="65">
        <v>26352</v>
      </c>
      <c r="S60" s="65">
        <v>153720</v>
      </c>
      <c r="T60" s="65">
        <v>17568</v>
      </c>
      <c r="U60" s="65">
        <v>1350.0106367343751</v>
      </c>
      <c r="V60" s="65">
        <v>97200.765844875015</v>
      </c>
      <c r="W60" s="65">
        <v>1350.0106367343751</v>
      </c>
      <c r="X60" s="65">
        <v>97200.765844875015</v>
      </c>
      <c r="Y60" s="65">
        <v>0</v>
      </c>
      <c r="Z60" s="65">
        <v>36600</v>
      </c>
      <c r="AA60" s="3"/>
      <c r="AB60" s="42">
        <f t="shared" si="106"/>
        <v>406.66666666666669</v>
      </c>
      <c r="AC60" s="60">
        <f t="shared" si="107"/>
        <v>14.804354557812509</v>
      </c>
      <c r="AD60" s="61">
        <f t="shared" si="108"/>
        <v>421.47102122447922</v>
      </c>
      <c r="AE60" s="61">
        <f t="shared" si="109"/>
        <v>484.98035318981169</v>
      </c>
      <c r="AF60" s="62">
        <f t="shared" si="110"/>
        <v>5620.9853999999996</v>
      </c>
      <c r="AG60" s="62">
        <f t="shared" si="111"/>
        <v>1037.9190680570939</v>
      </c>
      <c r="AH60" s="62">
        <f t="shared" si="112"/>
        <v>377.42511565712516</v>
      </c>
      <c r="AI60" s="62">
        <f t="shared" si="113"/>
        <v>1401.0961158565362</v>
      </c>
      <c r="AJ60" s="62">
        <f t="shared" si="5"/>
        <v>8060.0005839136293</v>
      </c>
      <c r="AK60" s="62">
        <f t="shared" si="6"/>
        <v>377.42511565712516</v>
      </c>
      <c r="AL60" s="62">
        <f t="shared" si="7"/>
        <v>8437.4256995707547</v>
      </c>
      <c r="AN60" s="27">
        <f t="shared" si="114"/>
        <v>12441.149088077553</v>
      </c>
      <c r="AP60" s="66">
        <f t="shared" si="115"/>
        <v>23414.312624731025</v>
      </c>
      <c r="AQ60" s="55">
        <f t="shared" si="116"/>
        <v>1950.1235720323918</v>
      </c>
      <c r="AR60" s="16">
        <f t="shared" si="117"/>
        <v>16850.144845501145</v>
      </c>
      <c r="AS60" s="55">
        <f t="shared" si="118"/>
        <v>2490.0712429990444</v>
      </c>
      <c r="AT60" s="55">
        <f t="shared" si="119"/>
        <v>2073.5248480129253</v>
      </c>
      <c r="AU60" s="55">
        <f t="shared" si="120"/>
        <v>416.54639498611914</v>
      </c>
      <c r="AV60" s="16">
        <f t="shared" si="121"/>
        <v>18800.268417533538</v>
      </c>
      <c r="AW60" s="56">
        <f t="shared" si="122"/>
        <v>0.21360000000000012</v>
      </c>
      <c r="AX60" s="62">
        <f t="shared" si="123"/>
        <v>5001.2971766425499</v>
      </c>
      <c r="AY60" s="62">
        <f t="shared" si="124"/>
        <v>30007.783059855297</v>
      </c>
      <c r="AZ60" s="16"/>
      <c r="BA60" s="16">
        <f t="shared" si="125"/>
        <v>40264.45747023217</v>
      </c>
      <c r="BB60" s="55">
        <f t="shared" si="126"/>
        <v>8400.2352410696512</v>
      </c>
      <c r="BC60" s="55">
        <f t="shared" si="127"/>
        <v>2073.5248480129253</v>
      </c>
      <c r="BD60" s="55">
        <f t="shared" si="13"/>
        <v>6326.7103930567264</v>
      </c>
      <c r="BE60" s="55">
        <f t="shared" si="30"/>
        <v>37960.262358340362</v>
      </c>
      <c r="BF60" s="56"/>
      <c r="BG60" s="62">
        <f t="shared" si="128"/>
        <v>178800.25528162502</v>
      </c>
      <c r="BH60" s="62">
        <f t="shared" si="129"/>
        <v>23414.312624731025</v>
      </c>
      <c r="BI60" s="62">
        <f t="shared" si="46"/>
        <v>202214.56790635604</v>
      </c>
      <c r="BJ60" s="55">
        <f t="shared" si="130"/>
        <v>29883.618848797651</v>
      </c>
      <c r="BK60" s="55">
        <f t="shared" si="131"/>
        <v>24882.298176155105</v>
      </c>
      <c r="BL60" s="55">
        <f t="shared" si="132"/>
        <v>5001.3206726425451</v>
      </c>
      <c r="BM60" s="55">
        <f t="shared" si="133"/>
        <v>30007.924035855271</v>
      </c>
      <c r="BN60" s="67"/>
      <c r="BO60" s="89"/>
      <c r="BP60" s="89"/>
      <c r="BQ60" s="89"/>
      <c r="BR60" s="90"/>
    </row>
    <row r="61" spans="2:70" x14ac:dyDescent="0.2">
      <c r="B61" s="95" t="s">
        <v>143</v>
      </c>
      <c r="C61" s="64">
        <v>4</v>
      </c>
      <c r="D61" s="65">
        <v>10200</v>
      </c>
      <c r="E61" s="106"/>
      <c r="F61" s="65">
        <v>3366</v>
      </c>
      <c r="G61" s="65">
        <v>10200</v>
      </c>
      <c r="H61" s="65">
        <v>40800</v>
      </c>
      <c r="I61" s="65">
        <v>489600</v>
      </c>
      <c r="J61" s="65">
        <v>1908.5410023763798</v>
      </c>
      <c r="K61" s="65">
        <v>345.91417898311857</v>
      </c>
      <c r="L61" s="65">
        <v>9017.820725437994</v>
      </c>
      <c r="M61" s="65">
        <v>90178.207254379944</v>
      </c>
      <c r="N61" s="65">
        <v>5049</v>
      </c>
      <c r="O61" s="65">
        <v>20196</v>
      </c>
      <c r="P61" s="65">
        <v>17327.199373535565</v>
      </c>
      <c r="Q61" s="65">
        <v>31313.151871994247</v>
      </c>
      <c r="R61" s="65">
        <v>14688</v>
      </c>
      <c r="S61" s="65">
        <v>85680</v>
      </c>
      <c r="T61" s="65">
        <v>9792</v>
      </c>
      <c r="U61" s="65">
        <v>1451.2614344894532</v>
      </c>
      <c r="V61" s="65">
        <v>69660.548855493747</v>
      </c>
      <c r="W61" s="65">
        <v>1451.2614344894532</v>
      </c>
      <c r="X61" s="65">
        <v>69660.548855493747</v>
      </c>
      <c r="Y61" s="65">
        <v>0</v>
      </c>
      <c r="Z61" s="65">
        <v>20400</v>
      </c>
      <c r="AA61" s="3"/>
      <c r="AB61" s="42">
        <f t="shared" si="106"/>
        <v>340</v>
      </c>
      <c r="AC61" s="60">
        <f t="shared" si="107"/>
        <v>18.179381149648442</v>
      </c>
      <c r="AD61" s="61">
        <f t="shared" si="108"/>
        <v>358.17938114964846</v>
      </c>
      <c r="AE61" s="61">
        <f t="shared" si="109"/>
        <v>412.15161666534891</v>
      </c>
      <c r="AF61" s="62">
        <f t="shared" si="110"/>
        <v>5620.9853999999996</v>
      </c>
      <c r="AG61" s="62">
        <f t="shared" si="111"/>
        <v>745.51169091137592</v>
      </c>
      <c r="AH61" s="62">
        <f t="shared" si="112"/>
        <v>271.09516033140943</v>
      </c>
      <c r="AI61" s="62">
        <f t="shared" si="113"/>
        <v>1190.6957167557764</v>
      </c>
      <c r="AJ61" s="62">
        <f t="shared" si="5"/>
        <v>7557.192807667152</v>
      </c>
      <c r="AK61" s="62">
        <f t="shared" si="6"/>
        <v>271.09516033140943</v>
      </c>
      <c r="AL61" s="62">
        <f t="shared" si="7"/>
        <v>7828.2879679985617</v>
      </c>
      <c r="AN61" s="27">
        <f t="shared" si="114"/>
        <v>6758.3167552555778</v>
      </c>
      <c r="AP61" s="66">
        <f t="shared" si="115"/>
        <v>20279.851813594985</v>
      </c>
      <c r="AQ61" s="55">
        <f t="shared" si="116"/>
        <v>1689.0616305021576</v>
      </c>
      <c r="AR61" s="16">
        <f t="shared" si="117"/>
        <v>14791.584499481065</v>
      </c>
      <c r="AS61" s="55">
        <f t="shared" si="118"/>
        <v>2050.3627530891554</v>
      </c>
      <c r="AT61" s="55">
        <f t="shared" si="119"/>
        <v>1689.5791888138945</v>
      </c>
      <c r="AU61" s="55">
        <f t="shared" si="120"/>
        <v>360.78356427526091</v>
      </c>
      <c r="AV61" s="16">
        <f t="shared" si="121"/>
        <v>16480.646129983223</v>
      </c>
      <c r="AW61" s="56">
        <f t="shared" si="122"/>
        <v>0.21360000000000001</v>
      </c>
      <c r="AX61" s="62">
        <f t="shared" si="123"/>
        <v>4331.7763473838895</v>
      </c>
      <c r="AY61" s="62">
        <f t="shared" si="124"/>
        <v>17327.105389535558</v>
      </c>
      <c r="AZ61" s="16"/>
      <c r="BA61" s="16">
        <f t="shared" si="125"/>
        <v>35071.436313076047</v>
      </c>
      <c r="BB61" s="55">
        <f t="shared" si="126"/>
        <v>6842.3288939228141</v>
      </c>
      <c r="BC61" s="55">
        <f t="shared" si="127"/>
        <v>1689.5791888138945</v>
      </c>
      <c r="BD61" s="55">
        <f t="shared" si="13"/>
        <v>5152.7497051089194</v>
      </c>
      <c r="BE61" s="55">
        <f t="shared" si="30"/>
        <v>20610.998820435678</v>
      </c>
      <c r="BF61" s="56"/>
      <c r="BG61" s="62">
        <f t="shared" si="128"/>
        <v>157230.27442774689</v>
      </c>
      <c r="BH61" s="62">
        <f t="shared" si="129"/>
        <v>20279.851813594985</v>
      </c>
      <c r="BI61" s="62">
        <f t="shared" si="46"/>
        <v>177510.12624134187</v>
      </c>
      <c r="BJ61" s="55">
        <f t="shared" si="130"/>
        <v>24606.750109150624</v>
      </c>
      <c r="BK61" s="55">
        <f t="shared" si="131"/>
        <v>20274.950265766733</v>
      </c>
      <c r="BL61" s="55">
        <f t="shared" si="132"/>
        <v>4331.7998433838911</v>
      </c>
      <c r="BM61" s="55">
        <f t="shared" si="133"/>
        <v>17327.199373535565</v>
      </c>
      <c r="BN61" s="67"/>
      <c r="BO61" s="89"/>
      <c r="BP61" s="89"/>
      <c r="BQ61" s="89"/>
      <c r="BR61" s="90"/>
    </row>
    <row r="62" spans="2:70" x14ac:dyDescent="0.2">
      <c r="B62" s="75" t="s">
        <v>91</v>
      </c>
      <c r="C62" s="76">
        <v>22</v>
      </c>
      <c r="D62" s="100">
        <v>255003</v>
      </c>
      <c r="E62" s="100"/>
      <c r="F62" s="100"/>
      <c r="G62" s="100">
        <v>255003</v>
      </c>
      <c r="H62" s="100">
        <v>473748</v>
      </c>
      <c r="I62" s="100">
        <v>5684976</v>
      </c>
      <c r="J62" s="100"/>
      <c r="K62" s="100"/>
      <c r="L62" s="100">
        <v>90235.994311928996</v>
      </c>
      <c r="M62" s="100">
        <v>902359.94311929005</v>
      </c>
      <c r="N62" s="100"/>
      <c r="O62" s="100">
        <v>234505.26</v>
      </c>
      <c r="P62" s="100">
        <v>219683.252657715</v>
      </c>
      <c r="Q62" s="100">
        <v>240285.03534232258</v>
      </c>
      <c r="R62" s="100">
        <v>170549.28000000003</v>
      </c>
      <c r="S62" s="100">
        <v>994870.79999999993</v>
      </c>
      <c r="T62" s="100">
        <v>108087.72</v>
      </c>
      <c r="U62" s="100">
        <v>8797.1181155988288</v>
      </c>
      <c r="V62" s="100">
        <v>287791.44498286874</v>
      </c>
      <c r="W62" s="100">
        <v>8797.1181155988288</v>
      </c>
      <c r="X62" s="100">
        <v>287791.44498286874</v>
      </c>
      <c r="Y62" s="100">
        <v>0</v>
      </c>
      <c r="Z62" s="100">
        <v>196874</v>
      </c>
      <c r="AA62" s="42"/>
      <c r="AB62" s="42"/>
      <c r="AC62" s="60"/>
      <c r="AD62" s="61"/>
      <c r="AE62" s="61"/>
      <c r="AF62" s="62"/>
      <c r="AG62" s="62"/>
      <c r="AH62" s="62"/>
      <c r="AI62" s="62"/>
      <c r="AJ62" s="62"/>
      <c r="AK62" s="62"/>
      <c r="AL62" s="62"/>
      <c r="AN62" s="27"/>
      <c r="AP62" s="55"/>
      <c r="AQ62" s="55"/>
      <c r="AR62" s="16"/>
      <c r="AS62" s="16"/>
      <c r="AT62" s="55"/>
      <c r="AU62" s="55"/>
      <c r="AV62" s="55"/>
      <c r="AW62" s="93"/>
      <c r="AX62" s="62"/>
      <c r="AY62" s="62"/>
      <c r="AZ62" s="16"/>
      <c r="BA62" s="16"/>
      <c r="BB62" s="55"/>
      <c r="BC62" s="55"/>
      <c r="BD62" s="55"/>
      <c r="BE62" s="55">
        <f t="shared" si="30"/>
        <v>0</v>
      </c>
      <c r="BF62" s="56"/>
      <c r="BG62" s="62"/>
      <c r="BH62" s="62"/>
      <c r="BI62" s="62"/>
      <c r="BJ62" s="55"/>
      <c r="BK62" s="55"/>
      <c r="BL62" s="55"/>
      <c r="BM62" s="55"/>
      <c r="BN62" s="67"/>
    </row>
    <row r="63" spans="2:70" x14ac:dyDescent="0.2">
      <c r="B63" s="107" t="s">
        <v>144</v>
      </c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42"/>
      <c r="AB63" s="42"/>
      <c r="AC63" s="60"/>
      <c r="AD63" s="61"/>
      <c r="AE63" s="61"/>
      <c r="AF63" s="62"/>
      <c r="AG63" s="62"/>
      <c r="AH63" s="62"/>
      <c r="AI63" s="62"/>
      <c r="AJ63" s="62"/>
      <c r="AK63" s="62"/>
      <c r="AL63" s="62"/>
      <c r="AN63" s="27"/>
      <c r="AP63" s="55"/>
      <c r="AQ63" s="55"/>
      <c r="AR63" s="16"/>
      <c r="AS63" s="16"/>
      <c r="AT63" s="55"/>
      <c r="AU63" s="55"/>
      <c r="AV63" s="55"/>
      <c r="AW63" s="93"/>
      <c r="AX63" s="62"/>
      <c r="AY63" s="62"/>
      <c r="AZ63" s="16"/>
      <c r="BA63" s="16"/>
      <c r="BB63" s="55"/>
      <c r="BC63" s="55"/>
      <c r="BD63" s="55"/>
      <c r="BE63" s="55"/>
      <c r="BF63" s="56"/>
      <c r="BG63" s="62"/>
      <c r="BH63" s="62"/>
      <c r="BI63" s="62"/>
      <c r="BJ63" s="55"/>
      <c r="BK63" s="55"/>
      <c r="BL63" s="55"/>
      <c r="BM63" s="55"/>
      <c r="BN63" s="67"/>
    </row>
    <row r="64" spans="2:70" x14ac:dyDescent="0.2">
      <c r="B64" s="108" t="s">
        <v>145</v>
      </c>
      <c r="C64" s="99">
        <v>1</v>
      </c>
      <c r="D64" s="103">
        <v>72728</v>
      </c>
      <c r="E64" s="99"/>
      <c r="F64" s="65">
        <v>24000.240000000002</v>
      </c>
      <c r="G64" s="103">
        <v>72728</v>
      </c>
      <c r="H64" s="103">
        <v>72728</v>
      </c>
      <c r="I64" s="103">
        <v>872736</v>
      </c>
      <c r="J64" s="103">
        <v>10743.566769406392</v>
      </c>
      <c r="K64" s="103">
        <v>2053.3436940639267</v>
      </c>
      <c r="L64" s="103">
        <v>12796.910463470318</v>
      </c>
      <c r="M64" s="103">
        <v>127969.10463470318</v>
      </c>
      <c r="N64" s="65">
        <v>36000.36</v>
      </c>
      <c r="O64" s="65">
        <v>36000.36</v>
      </c>
      <c r="P64" s="103">
        <v>40441.212175799068</v>
      </c>
      <c r="Q64" s="103">
        <v>20165.973968749997</v>
      </c>
      <c r="R64" s="103">
        <v>26182.080000000002</v>
      </c>
      <c r="S64" s="103">
        <v>152728.79999999999</v>
      </c>
      <c r="T64" s="103">
        <v>13588.199999999999</v>
      </c>
      <c r="U64" s="103">
        <v>514.38750000000005</v>
      </c>
      <c r="V64" s="103">
        <v>6172.6500000000005</v>
      </c>
      <c r="W64" s="103">
        <v>514.38750000000005</v>
      </c>
      <c r="X64" s="103">
        <v>6172.6500000000005</v>
      </c>
      <c r="Y64" s="103">
        <v>0</v>
      </c>
      <c r="Z64" s="65">
        <v>0</v>
      </c>
      <c r="AA64" s="109"/>
      <c r="AB64" s="110">
        <f t="shared" ref="AB64:AB69" si="134">+G64/30</f>
        <v>2424.2666666666669</v>
      </c>
      <c r="AC64" s="111">
        <f t="shared" ref="AC64:AC69" si="135">IF(((U64/30)&lt;$AH$4),0,((U64/30)-$AH$4))</f>
        <v>0</v>
      </c>
      <c r="AD64" s="112">
        <f t="shared" ref="AD64:AD69" si="136">+AB64+AC64</f>
        <v>2424.2666666666669</v>
      </c>
      <c r="AE64" s="112">
        <f t="shared" ref="AE64:AE69" si="137">IF((AD64*$AH$3)&gt;$AI$6,$AI$6,(AD64*$AH$3))</f>
        <v>1887.2499999999998</v>
      </c>
      <c r="AF64" s="113">
        <f t="shared" ref="AF64:AF69" si="138">+$AL$1*$AL$2*$AF$9</f>
        <v>5620.9853999999996</v>
      </c>
      <c r="AG64" s="113">
        <f t="shared" ref="AG64:AG69" si="139">+IF(AE64&gt;($AH$6*3),(AE64-($AH$6*3))*$AG$8,0)*$AG$9</f>
        <v>6668.0316999999986</v>
      </c>
      <c r="AH64" s="113">
        <f t="shared" ref="AH64:AH69" si="140">+IF(AE64&gt;($AH$6*3),(AE64-($AH$6*3))*$AH$8,0)*$AH$9</f>
        <v>2424.7387999999996</v>
      </c>
      <c r="AI64" s="113">
        <f t="shared" ref="AI64:AI69" si="141">+(AE64*$AI$9)*$AI$8</f>
        <v>5452.2180687499995</v>
      </c>
      <c r="AJ64" s="113">
        <f t="shared" ref="AJ64:AJ69" si="142">+AF64+AG64+AI64</f>
        <v>17741.235168749998</v>
      </c>
      <c r="AK64" s="113">
        <f t="shared" ref="AK64:AK69" si="143">+AH64</f>
        <v>2424.7387999999996</v>
      </c>
      <c r="AL64" s="113">
        <f t="shared" ref="AL64:AL69" si="144">+AJ64+AK64</f>
        <v>20165.973968749997</v>
      </c>
      <c r="AM64" s="114"/>
      <c r="AN64" s="115">
        <f t="shared" ref="AN64:AN69" si="145">+AT64*C64</f>
        <v>18673.064799999996</v>
      </c>
      <c r="AO64" s="114"/>
      <c r="AP64" s="66">
        <f t="shared" ref="AP64:AP69" si="146">+((M64/C64)-($AL$2*30))</f>
        <v>125704.40463470318</v>
      </c>
      <c r="AQ64" s="55">
        <f t="shared" ref="AQ64:AQ69" si="147">+AP64/365*30.4</f>
        <v>10469.627125739662</v>
      </c>
      <c r="AR64" s="16">
        <f t="shared" ref="AR64:AR69" si="148">+G64+U64+W64+AQ64</f>
        <v>84226.402125739653</v>
      </c>
      <c r="AS64" s="55">
        <f t="shared" ref="AS64:AS69" si="149">((AR64-VLOOKUP(AR64,$BO$17:$BR$39,1))*VLOOKUP(AR64,$BO$17:$BR$39,4)+VLOOKUP(AR64,$BO$17:$BR$39,3))-VLOOKUP(AR64,$BT$17:$BV$39,3)</f>
        <v>22041.211122751483</v>
      </c>
      <c r="AT64" s="55">
        <f t="shared" ref="AT64:AT69" si="150">(((G64+U64+W64)-VLOOKUP((G64+U64+W64),$BO$17:$BR$39,1))*VLOOKUP((G64+U64+W64),$BO$17:$BR$39,4)+VLOOKUP((G64+U64+W64),$BO$17:$BR$39,3))-VLOOKUP((G64+U64+W64),$BT$17:$BV$39,3)</f>
        <v>18673.064799999996</v>
      </c>
      <c r="AU64" s="55">
        <f t="shared" ref="AU64:AU69" si="151">+AS64-AT64</f>
        <v>3368.1463227514869</v>
      </c>
      <c r="AV64" s="16">
        <f t="shared" ref="AV64:AV69" si="152">+AR64+AQ64</f>
        <v>94696.029251479311</v>
      </c>
      <c r="AW64" s="56">
        <f t="shared" ref="AW64:AW69" si="153">+(AU64/AQ64)</f>
        <v>0.3217064258640952</v>
      </c>
      <c r="AX64" s="62">
        <f t="shared" ref="AX64:AX69" si="154">+AP64*AW64</f>
        <v>40439.914730404365</v>
      </c>
      <c r="AY64" s="62">
        <f t="shared" ref="AY64:AY69" si="155">+AX64*C64</f>
        <v>40439.914730404365</v>
      </c>
      <c r="AZ64" s="116"/>
      <c r="BA64" s="116">
        <f t="shared" ref="BA64:BA69" si="156">+AP64+AR64</f>
        <v>209930.80676044285</v>
      </c>
      <c r="BB64" s="66">
        <f t="shared" ref="BB64:BB69" si="157">((BA64-VLOOKUP(BA64,$BO$17:$BR$39,1))*VLOOKUP(BA64,$BO$17:$BR$39,4)+VLOOKUP(BA64,$BO$17:$BR$39,3))-VLOOKUP(BA64,$BT$17:$BV$39,3)</f>
        <v>64780.708698550574</v>
      </c>
      <c r="BC64" s="66">
        <f t="shared" ref="BC64:BC69" si="158">+AT64</f>
        <v>18673.064799999996</v>
      </c>
      <c r="BD64" s="66">
        <f t="shared" ref="BD64:BD69" si="159">+BB64-BC64</f>
        <v>46107.643898550581</v>
      </c>
      <c r="BE64" s="66">
        <f t="shared" ref="BE64:BE84" si="160">+BD64*C64</f>
        <v>46107.643898550581</v>
      </c>
      <c r="BF64" s="117"/>
      <c r="BG64" s="62">
        <f t="shared" ref="BG64:BG69" si="161">+(G64+U64+W64)*12</f>
        <v>885081.29999999993</v>
      </c>
      <c r="BH64" s="113">
        <f t="shared" ref="BH64:BH69" si="162">+AP64</f>
        <v>125704.40463470318</v>
      </c>
      <c r="BI64" s="113">
        <f t="shared" ref="BI64:BI69" si="163">+BG64+BH64</f>
        <v>1010785.7046347031</v>
      </c>
      <c r="BJ64" s="66">
        <f t="shared" ref="BJ64:BJ69" si="164">((BI64-VLOOKUP(BI64,$BO$45:$BR$61,1))*VLOOKUP(BI64,$BO$45:$BR$61,4)+VLOOKUP(BI64,$BO$45:$BR$61,3))</f>
        <v>264517.98977579904</v>
      </c>
      <c r="BK64" s="66">
        <f t="shared" ref="BK64:BK69" si="165">+AT64*12</f>
        <v>224076.77759999997</v>
      </c>
      <c r="BL64" s="55">
        <f>+BJ64-BK64</f>
        <v>40441.212175799068</v>
      </c>
      <c r="BM64" s="55">
        <f t="shared" ref="BM64:BM69" si="166">+BL64*C64</f>
        <v>40441.212175799068</v>
      </c>
      <c r="BN64" s="67"/>
    </row>
    <row r="65" spans="2:66" x14ac:dyDescent="0.2">
      <c r="B65" s="108" t="s">
        <v>146</v>
      </c>
      <c r="C65" s="99">
        <v>1</v>
      </c>
      <c r="D65" s="103">
        <v>33058</v>
      </c>
      <c r="E65" s="99"/>
      <c r="F65" s="65">
        <v>10909.140000000001</v>
      </c>
      <c r="G65" s="103">
        <v>33058</v>
      </c>
      <c r="H65" s="103">
        <v>33058</v>
      </c>
      <c r="I65" s="103">
        <v>396696</v>
      </c>
      <c r="J65" s="103">
        <v>5022.0955847031955</v>
      </c>
      <c r="K65" s="103">
        <v>953.33108538812769</v>
      </c>
      <c r="L65" s="103">
        <v>5975.4266700913231</v>
      </c>
      <c r="M65" s="103">
        <v>59754.266700913227</v>
      </c>
      <c r="N65" s="65">
        <v>16363.710000000003</v>
      </c>
      <c r="O65" s="65">
        <v>16363.710000000003</v>
      </c>
      <c r="P65" s="103">
        <v>17246.903010273963</v>
      </c>
      <c r="Q65" s="103">
        <v>14986.399130000002</v>
      </c>
      <c r="R65" s="103">
        <v>11900.880000000001</v>
      </c>
      <c r="S65" s="103">
        <v>69421.799999999988</v>
      </c>
      <c r="T65" s="103">
        <v>7933.92</v>
      </c>
      <c r="U65" s="103">
        <v>709.85474999999997</v>
      </c>
      <c r="V65" s="103">
        <v>8518.2569999999996</v>
      </c>
      <c r="W65" s="103">
        <v>709.85474999999997</v>
      </c>
      <c r="X65" s="103">
        <v>8518.2569999999996</v>
      </c>
      <c r="Y65" s="103">
        <v>0</v>
      </c>
      <c r="Z65" s="65">
        <v>16529</v>
      </c>
      <c r="AA65" s="109"/>
      <c r="AB65" s="110">
        <f t="shared" si="134"/>
        <v>1101.9333333333334</v>
      </c>
      <c r="AC65" s="111">
        <f t="shared" si="135"/>
        <v>0</v>
      </c>
      <c r="AD65" s="112">
        <f t="shared" si="136"/>
        <v>1101.9333333333334</v>
      </c>
      <c r="AE65" s="112">
        <f t="shared" si="137"/>
        <v>1267.9780821917809</v>
      </c>
      <c r="AF65" s="113">
        <f t="shared" si="138"/>
        <v>5620.9853999999996</v>
      </c>
      <c r="AG65" s="113">
        <f t="shared" si="139"/>
        <v>4181.6549500000001</v>
      </c>
      <c r="AH65" s="113">
        <f t="shared" si="140"/>
        <v>1520.6017999999999</v>
      </c>
      <c r="AI65" s="113">
        <f t="shared" si="141"/>
        <v>3663.1569800000007</v>
      </c>
      <c r="AJ65" s="113">
        <f t="shared" si="142"/>
        <v>13465.797330000001</v>
      </c>
      <c r="AK65" s="113">
        <f t="shared" si="143"/>
        <v>1520.6017999999999</v>
      </c>
      <c r="AL65" s="113">
        <f t="shared" si="144"/>
        <v>14986.399130000002</v>
      </c>
      <c r="AM65" s="114"/>
      <c r="AN65" s="115">
        <f t="shared" si="145"/>
        <v>6664.2108499999986</v>
      </c>
      <c r="AO65" s="114"/>
      <c r="AP65" s="66">
        <f t="shared" si="146"/>
        <v>57489.56670091323</v>
      </c>
      <c r="AQ65" s="55">
        <f t="shared" si="147"/>
        <v>4788.1721307061971</v>
      </c>
      <c r="AR65" s="16">
        <f t="shared" si="148"/>
        <v>39265.881630706193</v>
      </c>
      <c r="AS65" s="55">
        <f t="shared" si="149"/>
        <v>8100.662489211858</v>
      </c>
      <c r="AT65" s="55">
        <f t="shared" si="150"/>
        <v>6664.2108499999986</v>
      </c>
      <c r="AU65" s="55">
        <f t="shared" si="151"/>
        <v>1436.4516392118594</v>
      </c>
      <c r="AV65" s="16">
        <f t="shared" si="152"/>
        <v>44054.05376141239</v>
      </c>
      <c r="AW65" s="56">
        <f t="shared" si="153"/>
        <v>0.30000000000000004</v>
      </c>
      <c r="AX65" s="62">
        <f t="shared" si="154"/>
        <v>17246.870010273971</v>
      </c>
      <c r="AY65" s="62">
        <f t="shared" si="155"/>
        <v>17246.870010273971</v>
      </c>
      <c r="AZ65" s="116"/>
      <c r="BA65" s="116">
        <f t="shared" si="156"/>
        <v>96755.448331619424</v>
      </c>
      <c r="BB65" s="66">
        <f t="shared" si="157"/>
        <v>26301.086832750603</v>
      </c>
      <c r="BC65" s="66">
        <f t="shared" si="158"/>
        <v>6664.2108499999986</v>
      </c>
      <c r="BD65" s="66">
        <f t="shared" si="159"/>
        <v>19636.875982750604</v>
      </c>
      <c r="BE65" s="66">
        <f t="shared" si="160"/>
        <v>19636.875982750604</v>
      </c>
      <c r="BF65" s="117"/>
      <c r="BG65" s="62">
        <f t="shared" si="161"/>
        <v>413732.51399999997</v>
      </c>
      <c r="BH65" s="113">
        <f t="shared" si="162"/>
        <v>57489.56670091323</v>
      </c>
      <c r="BI65" s="113">
        <f t="shared" si="163"/>
        <v>471222.08070091321</v>
      </c>
      <c r="BJ65" s="66">
        <f t="shared" si="164"/>
        <v>97217.433210273943</v>
      </c>
      <c r="BK65" s="66">
        <f t="shared" si="165"/>
        <v>79970.530199999979</v>
      </c>
      <c r="BL65" s="55">
        <f t="shared" ref="BL65:BL69" si="167">+BJ65-BK65</f>
        <v>17246.903010273963</v>
      </c>
      <c r="BM65" s="55">
        <f t="shared" si="166"/>
        <v>17246.903010273963</v>
      </c>
      <c r="BN65" s="67"/>
    </row>
    <row r="66" spans="2:66" x14ac:dyDescent="0.2">
      <c r="B66" s="108" t="s">
        <v>147</v>
      </c>
      <c r="C66" s="99">
        <v>1</v>
      </c>
      <c r="D66" s="103">
        <v>33058</v>
      </c>
      <c r="E66" s="99"/>
      <c r="F66" s="65">
        <v>10909.140000000001</v>
      </c>
      <c r="G66" s="103">
        <v>33058</v>
      </c>
      <c r="H66" s="103">
        <v>33058</v>
      </c>
      <c r="I66" s="103">
        <v>396696</v>
      </c>
      <c r="J66" s="103">
        <v>5022.0955847031955</v>
      </c>
      <c r="K66" s="103">
        <v>953.33108538812769</v>
      </c>
      <c r="L66" s="103">
        <v>5975.4266700913231</v>
      </c>
      <c r="M66" s="103">
        <v>59754.266700913227</v>
      </c>
      <c r="N66" s="65">
        <v>16363.710000000003</v>
      </c>
      <c r="O66" s="65">
        <v>16363.710000000003</v>
      </c>
      <c r="P66" s="103">
        <v>17246.903010273963</v>
      </c>
      <c r="Q66" s="103">
        <v>14986.399130000002</v>
      </c>
      <c r="R66" s="103">
        <v>11900.880000000001</v>
      </c>
      <c r="S66" s="103">
        <v>69421.799999999988</v>
      </c>
      <c r="T66" s="103">
        <v>7933.92</v>
      </c>
      <c r="U66" s="103">
        <v>709.85474999999997</v>
      </c>
      <c r="V66" s="103">
        <v>8518.2569999999996</v>
      </c>
      <c r="W66" s="103">
        <v>709.85474999999997</v>
      </c>
      <c r="X66" s="103">
        <v>8518.2569999999996</v>
      </c>
      <c r="Y66" s="103">
        <v>0</v>
      </c>
      <c r="Z66" s="65">
        <v>16529</v>
      </c>
      <c r="AA66" s="109"/>
      <c r="AB66" s="110">
        <f t="shared" si="134"/>
        <v>1101.9333333333334</v>
      </c>
      <c r="AC66" s="111">
        <f t="shared" si="135"/>
        <v>0</v>
      </c>
      <c r="AD66" s="112">
        <f t="shared" si="136"/>
        <v>1101.9333333333334</v>
      </c>
      <c r="AE66" s="112">
        <f t="shared" si="137"/>
        <v>1267.9780821917809</v>
      </c>
      <c r="AF66" s="113">
        <f t="shared" si="138"/>
        <v>5620.9853999999996</v>
      </c>
      <c r="AG66" s="113">
        <f t="shared" si="139"/>
        <v>4181.6549500000001</v>
      </c>
      <c r="AH66" s="113">
        <f t="shared" si="140"/>
        <v>1520.6017999999999</v>
      </c>
      <c r="AI66" s="113">
        <f t="shared" si="141"/>
        <v>3663.1569800000007</v>
      </c>
      <c r="AJ66" s="113">
        <f t="shared" si="142"/>
        <v>13465.797330000001</v>
      </c>
      <c r="AK66" s="113">
        <f t="shared" si="143"/>
        <v>1520.6017999999999</v>
      </c>
      <c r="AL66" s="113">
        <f t="shared" si="144"/>
        <v>14986.399130000002</v>
      </c>
      <c r="AM66" s="114"/>
      <c r="AN66" s="115">
        <f t="shared" si="145"/>
        <v>6664.2108499999986</v>
      </c>
      <c r="AO66" s="114"/>
      <c r="AP66" s="66">
        <f t="shared" si="146"/>
        <v>57489.56670091323</v>
      </c>
      <c r="AQ66" s="55">
        <f t="shared" si="147"/>
        <v>4788.1721307061971</v>
      </c>
      <c r="AR66" s="16">
        <f t="shared" si="148"/>
        <v>39265.881630706193</v>
      </c>
      <c r="AS66" s="55">
        <f t="shared" si="149"/>
        <v>8100.662489211858</v>
      </c>
      <c r="AT66" s="55">
        <f t="shared" si="150"/>
        <v>6664.2108499999986</v>
      </c>
      <c r="AU66" s="55">
        <f t="shared" si="151"/>
        <v>1436.4516392118594</v>
      </c>
      <c r="AV66" s="16">
        <f t="shared" si="152"/>
        <v>44054.05376141239</v>
      </c>
      <c r="AW66" s="56">
        <f t="shared" si="153"/>
        <v>0.30000000000000004</v>
      </c>
      <c r="AX66" s="62">
        <f t="shared" si="154"/>
        <v>17246.870010273971</v>
      </c>
      <c r="AY66" s="62">
        <f t="shared" si="155"/>
        <v>17246.870010273971</v>
      </c>
      <c r="AZ66" s="116"/>
      <c r="BA66" s="116">
        <f t="shared" si="156"/>
        <v>96755.448331619424</v>
      </c>
      <c r="BB66" s="66">
        <f t="shared" si="157"/>
        <v>26301.086832750603</v>
      </c>
      <c r="BC66" s="66">
        <f t="shared" si="158"/>
        <v>6664.2108499999986</v>
      </c>
      <c r="BD66" s="66">
        <f t="shared" si="159"/>
        <v>19636.875982750604</v>
      </c>
      <c r="BE66" s="66">
        <f t="shared" si="160"/>
        <v>19636.875982750604</v>
      </c>
      <c r="BF66" s="117"/>
      <c r="BG66" s="62">
        <f t="shared" si="161"/>
        <v>413732.51399999997</v>
      </c>
      <c r="BH66" s="113">
        <f t="shared" si="162"/>
        <v>57489.56670091323</v>
      </c>
      <c r="BI66" s="113">
        <f t="shared" si="163"/>
        <v>471222.08070091321</v>
      </c>
      <c r="BJ66" s="66">
        <f t="shared" si="164"/>
        <v>97217.433210273943</v>
      </c>
      <c r="BK66" s="66">
        <f t="shared" si="165"/>
        <v>79970.530199999979</v>
      </c>
      <c r="BL66" s="55">
        <f t="shared" si="167"/>
        <v>17246.903010273963</v>
      </c>
      <c r="BM66" s="55">
        <f t="shared" si="166"/>
        <v>17246.903010273963</v>
      </c>
      <c r="BN66" s="67"/>
    </row>
    <row r="67" spans="2:66" x14ac:dyDescent="0.2">
      <c r="B67" s="108" t="s">
        <v>148</v>
      </c>
      <c r="C67" s="99">
        <v>1</v>
      </c>
      <c r="D67" s="103">
        <v>33058</v>
      </c>
      <c r="E67" s="99"/>
      <c r="F67" s="65">
        <v>10909.140000000001</v>
      </c>
      <c r="G67" s="103">
        <v>33058</v>
      </c>
      <c r="H67" s="103">
        <v>33058</v>
      </c>
      <c r="I67" s="103">
        <v>396696</v>
      </c>
      <c r="J67" s="103">
        <v>5022.0955847031955</v>
      </c>
      <c r="K67" s="103">
        <v>953.33108538812769</v>
      </c>
      <c r="L67" s="103">
        <v>5975.4266700913231</v>
      </c>
      <c r="M67" s="103">
        <v>59754.266700913227</v>
      </c>
      <c r="N67" s="65">
        <v>16363.710000000003</v>
      </c>
      <c r="O67" s="65">
        <v>16363.710000000003</v>
      </c>
      <c r="P67" s="103">
        <v>17246.903010273963</v>
      </c>
      <c r="Q67" s="103">
        <v>14986.399130000002</v>
      </c>
      <c r="R67" s="103">
        <v>11900.880000000001</v>
      </c>
      <c r="S67" s="103">
        <v>69421.799999999988</v>
      </c>
      <c r="T67" s="103">
        <v>7933.92</v>
      </c>
      <c r="U67" s="103">
        <v>709.85474999999997</v>
      </c>
      <c r="V67" s="103">
        <v>8518.2569999999996</v>
      </c>
      <c r="W67" s="103">
        <v>709.85474999999997</v>
      </c>
      <c r="X67" s="103">
        <v>8518.2569999999996</v>
      </c>
      <c r="Y67" s="103">
        <v>0</v>
      </c>
      <c r="Z67" s="65">
        <v>16529</v>
      </c>
      <c r="AA67" s="109"/>
      <c r="AB67" s="110">
        <f t="shared" si="134"/>
        <v>1101.9333333333334</v>
      </c>
      <c r="AC67" s="111">
        <f t="shared" si="135"/>
        <v>0</v>
      </c>
      <c r="AD67" s="112">
        <f t="shared" si="136"/>
        <v>1101.9333333333334</v>
      </c>
      <c r="AE67" s="112">
        <f t="shared" si="137"/>
        <v>1267.9780821917809</v>
      </c>
      <c r="AF67" s="113">
        <f t="shared" si="138"/>
        <v>5620.9853999999996</v>
      </c>
      <c r="AG67" s="113">
        <f t="shared" si="139"/>
        <v>4181.6549500000001</v>
      </c>
      <c r="AH67" s="113">
        <f t="shared" si="140"/>
        <v>1520.6017999999999</v>
      </c>
      <c r="AI67" s="113">
        <f t="shared" si="141"/>
        <v>3663.1569800000007</v>
      </c>
      <c r="AJ67" s="113">
        <f t="shared" si="142"/>
        <v>13465.797330000001</v>
      </c>
      <c r="AK67" s="113">
        <f t="shared" si="143"/>
        <v>1520.6017999999999</v>
      </c>
      <c r="AL67" s="113">
        <f t="shared" si="144"/>
        <v>14986.399130000002</v>
      </c>
      <c r="AM67" s="114"/>
      <c r="AN67" s="115">
        <f t="shared" si="145"/>
        <v>6664.2108499999986</v>
      </c>
      <c r="AO67" s="114"/>
      <c r="AP67" s="66">
        <f t="shared" si="146"/>
        <v>57489.56670091323</v>
      </c>
      <c r="AQ67" s="55">
        <f t="shared" si="147"/>
        <v>4788.1721307061971</v>
      </c>
      <c r="AR67" s="16">
        <f t="shared" si="148"/>
        <v>39265.881630706193</v>
      </c>
      <c r="AS67" s="55">
        <f t="shared" si="149"/>
        <v>8100.662489211858</v>
      </c>
      <c r="AT67" s="55">
        <f t="shared" si="150"/>
        <v>6664.2108499999986</v>
      </c>
      <c r="AU67" s="55">
        <f t="shared" si="151"/>
        <v>1436.4516392118594</v>
      </c>
      <c r="AV67" s="16">
        <f t="shared" si="152"/>
        <v>44054.05376141239</v>
      </c>
      <c r="AW67" s="56">
        <f t="shared" si="153"/>
        <v>0.30000000000000004</v>
      </c>
      <c r="AX67" s="62">
        <f t="shared" si="154"/>
        <v>17246.870010273971</v>
      </c>
      <c r="AY67" s="62">
        <f t="shared" si="155"/>
        <v>17246.870010273971</v>
      </c>
      <c r="AZ67" s="116"/>
      <c r="BA67" s="116">
        <f t="shared" si="156"/>
        <v>96755.448331619424</v>
      </c>
      <c r="BB67" s="66">
        <f t="shared" si="157"/>
        <v>26301.086832750603</v>
      </c>
      <c r="BC67" s="66">
        <f t="shared" si="158"/>
        <v>6664.2108499999986</v>
      </c>
      <c r="BD67" s="66">
        <f t="shared" si="159"/>
        <v>19636.875982750604</v>
      </c>
      <c r="BE67" s="66">
        <f t="shared" si="160"/>
        <v>19636.875982750604</v>
      </c>
      <c r="BF67" s="117"/>
      <c r="BG67" s="62">
        <f t="shared" si="161"/>
        <v>413732.51399999997</v>
      </c>
      <c r="BH67" s="113">
        <f t="shared" si="162"/>
        <v>57489.56670091323</v>
      </c>
      <c r="BI67" s="113">
        <f t="shared" si="163"/>
        <v>471222.08070091321</v>
      </c>
      <c r="BJ67" s="66">
        <f t="shared" si="164"/>
        <v>97217.433210273943</v>
      </c>
      <c r="BK67" s="66">
        <f t="shared" si="165"/>
        <v>79970.530199999979</v>
      </c>
      <c r="BL67" s="55">
        <f t="shared" si="167"/>
        <v>17246.903010273963</v>
      </c>
      <c r="BM67" s="55">
        <f t="shared" si="166"/>
        <v>17246.903010273963</v>
      </c>
      <c r="BN67" s="67"/>
    </row>
    <row r="68" spans="2:66" x14ac:dyDescent="0.2">
      <c r="B68" s="108" t="s">
        <v>149</v>
      </c>
      <c r="C68" s="99">
        <v>1</v>
      </c>
      <c r="D68" s="103">
        <v>33058</v>
      </c>
      <c r="E68" s="99"/>
      <c r="F68" s="65">
        <v>10909.140000000001</v>
      </c>
      <c r="G68" s="103">
        <v>33058</v>
      </c>
      <c r="H68" s="103">
        <v>33058</v>
      </c>
      <c r="I68" s="103">
        <v>396696</v>
      </c>
      <c r="J68" s="103">
        <v>5022.0955847031955</v>
      </c>
      <c r="K68" s="103">
        <v>953.33108538812769</v>
      </c>
      <c r="L68" s="103">
        <v>5975.4266700913231</v>
      </c>
      <c r="M68" s="103">
        <v>59754.266700913227</v>
      </c>
      <c r="N68" s="65">
        <v>16363.710000000003</v>
      </c>
      <c r="O68" s="65">
        <v>16363.710000000003</v>
      </c>
      <c r="P68" s="103">
        <v>17246.903010273963</v>
      </c>
      <c r="Q68" s="103">
        <v>14986.399130000002</v>
      </c>
      <c r="R68" s="103">
        <v>11900.880000000001</v>
      </c>
      <c r="S68" s="103">
        <v>69421.799999999988</v>
      </c>
      <c r="T68" s="103">
        <v>7933.92</v>
      </c>
      <c r="U68" s="103">
        <v>709.85474999999997</v>
      </c>
      <c r="V68" s="103">
        <v>8518.2569999999996</v>
      </c>
      <c r="W68" s="103">
        <v>709.85474999999997</v>
      </c>
      <c r="X68" s="103">
        <v>8518.2569999999996</v>
      </c>
      <c r="Y68" s="103">
        <v>0</v>
      </c>
      <c r="Z68" s="65">
        <v>16529</v>
      </c>
      <c r="AA68" s="109"/>
      <c r="AB68" s="110">
        <f t="shared" si="134"/>
        <v>1101.9333333333334</v>
      </c>
      <c r="AC68" s="111">
        <f t="shared" si="135"/>
        <v>0</v>
      </c>
      <c r="AD68" s="112">
        <f t="shared" si="136"/>
        <v>1101.9333333333334</v>
      </c>
      <c r="AE68" s="112">
        <f t="shared" si="137"/>
        <v>1267.9780821917809</v>
      </c>
      <c r="AF68" s="113">
        <f t="shared" si="138"/>
        <v>5620.9853999999996</v>
      </c>
      <c r="AG68" s="113">
        <f t="shared" si="139"/>
        <v>4181.6549500000001</v>
      </c>
      <c r="AH68" s="113">
        <f t="shared" si="140"/>
        <v>1520.6017999999999</v>
      </c>
      <c r="AI68" s="113">
        <f t="shared" si="141"/>
        <v>3663.1569800000007</v>
      </c>
      <c r="AJ68" s="113">
        <f t="shared" si="142"/>
        <v>13465.797330000001</v>
      </c>
      <c r="AK68" s="113">
        <f t="shared" si="143"/>
        <v>1520.6017999999999</v>
      </c>
      <c r="AL68" s="113">
        <f t="shared" si="144"/>
        <v>14986.399130000002</v>
      </c>
      <c r="AM68" s="114"/>
      <c r="AN68" s="115">
        <f t="shared" si="145"/>
        <v>6664.2108499999986</v>
      </c>
      <c r="AO68" s="114"/>
      <c r="AP68" s="66">
        <f t="shared" si="146"/>
        <v>57489.56670091323</v>
      </c>
      <c r="AQ68" s="55">
        <f t="shared" si="147"/>
        <v>4788.1721307061971</v>
      </c>
      <c r="AR68" s="16">
        <f t="shared" si="148"/>
        <v>39265.881630706193</v>
      </c>
      <c r="AS68" s="55">
        <f t="shared" si="149"/>
        <v>8100.662489211858</v>
      </c>
      <c r="AT68" s="55">
        <f t="shared" si="150"/>
        <v>6664.2108499999986</v>
      </c>
      <c r="AU68" s="55">
        <f t="shared" si="151"/>
        <v>1436.4516392118594</v>
      </c>
      <c r="AV68" s="16">
        <f t="shared" si="152"/>
        <v>44054.05376141239</v>
      </c>
      <c r="AW68" s="56">
        <f t="shared" si="153"/>
        <v>0.30000000000000004</v>
      </c>
      <c r="AX68" s="62">
        <f t="shared" si="154"/>
        <v>17246.870010273971</v>
      </c>
      <c r="AY68" s="62">
        <f t="shared" si="155"/>
        <v>17246.870010273971</v>
      </c>
      <c r="AZ68" s="116"/>
      <c r="BA68" s="116">
        <f t="shared" si="156"/>
        <v>96755.448331619424</v>
      </c>
      <c r="BB68" s="66">
        <f t="shared" si="157"/>
        <v>26301.086832750603</v>
      </c>
      <c r="BC68" s="66">
        <f t="shared" si="158"/>
        <v>6664.2108499999986</v>
      </c>
      <c r="BD68" s="66">
        <f t="shared" si="159"/>
        <v>19636.875982750604</v>
      </c>
      <c r="BE68" s="66">
        <f t="shared" si="160"/>
        <v>19636.875982750604</v>
      </c>
      <c r="BF68" s="117"/>
      <c r="BG68" s="62">
        <f t="shared" si="161"/>
        <v>413732.51399999997</v>
      </c>
      <c r="BH68" s="113">
        <f t="shared" si="162"/>
        <v>57489.56670091323</v>
      </c>
      <c r="BI68" s="113">
        <f t="shared" si="163"/>
        <v>471222.08070091321</v>
      </c>
      <c r="BJ68" s="66">
        <f t="shared" si="164"/>
        <v>97217.433210273943</v>
      </c>
      <c r="BK68" s="66">
        <f t="shared" si="165"/>
        <v>79970.530199999979</v>
      </c>
      <c r="BL68" s="55">
        <f t="shared" si="167"/>
        <v>17246.903010273963</v>
      </c>
      <c r="BM68" s="55">
        <f t="shared" si="166"/>
        <v>17246.903010273963</v>
      </c>
      <c r="BN68" s="67"/>
    </row>
    <row r="69" spans="2:66" x14ac:dyDescent="0.2">
      <c r="B69" s="108" t="s">
        <v>150</v>
      </c>
      <c r="C69" s="99">
        <v>4</v>
      </c>
      <c r="D69" s="103">
        <v>25429</v>
      </c>
      <c r="E69" s="99"/>
      <c r="F69" s="65">
        <v>8391.57</v>
      </c>
      <c r="G69" s="103">
        <v>25429</v>
      </c>
      <c r="H69" s="103">
        <v>101716</v>
      </c>
      <c r="I69" s="103">
        <v>1220592</v>
      </c>
      <c r="J69" s="103">
        <v>3941.8591004908681</v>
      </c>
      <c r="K69" s="103">
        <v>744.67984134703181</v>
      </c>
      <c r="L69" s="103">
        <v>18746.1557673516</v>
      </c>
      <c r="M69" s="103">
        <v>187461.55767351598</v>
      </c>
      <c r="N69" s="65">
        <v>12587.355</v>
      </c>
      <c r="O69" s="65">
        <v>50349.42</v>
      </c>
      <c r="P69" s="103">
        <v>41960.432092810923</v>
      </c>
      <c r="Q69" s="103">
        <v>50155.758559999995</v>
      </c>
      <c r="R69" s="103">
        <v>36617.760000000002</v>
      </c>
      <c r="S69" s="103">
        <v>213603.59999999998</v>
      </c>
      <c r="T69" s="103">
        <v>24411.84</v>
      </c>
      <c r="U69" s="103">
        <v>816.33296249999989</v>
      </c>
      <c r="V69" s="103">
        <v>39183.982199999999</v>
      </c>
      <c r="W69" s="103">
        <v>816.33296249999989</v>
      </c>
      <c r="X69" s="103">
        <v>39183.982199999999</v>
      </c>
      <c r="Y69" s="103">
        <v>0</v>
      </c>
      <c r="Z69" s="65">
        <v>50858</v>
      </c>
      <c r="AA69" s="109"/>
      <c r="AB69" s="110">
        <f t="shared" si="134"/>
        <v>847.63333333333333</v>
      </c>
      <c r="AC69" s="111">
        <f t="shared" si="135"/>
        <v>0</v>
      </c>
      <c r="AD69" s="112">
        <f t="shared" si="136"/>
        <v>847.63333333333333</v>
      </c>
      <c r="AE69" s="112">
        <f t="shared" si="137"/>
        <v>975.35890410958893</v>
      </c>
      <c r="AF69" s="113">
        <f t="shared" si="138"/>
        <v>5620.9853999999996</v>
      </c>
      <c r="AG69" s="113">
        <f t="shared" si="139"/>
        <v>3006.7889500000001</v>
      </c>
      <c r="AH69" s="113">
        <f t="shared" si="140"/>
        <v>1093.3778</v>
      </c>
      <c r="AI69" s="113">
        <f t="shared" si="141"/>
        <v>2817.7874899999997</v>
      </c>
      <c r="AJ69" s="113">
        <f t="shared" si="142"/>
        <v>11445.561839999998</v>
      </c>
      <c r="AK69" s="113">
        <f t="shared" si="143"/>
        <v>1093.3778</v>
      </c>
      <c r="AL69" s="113">
        <f t="shared" si="144"/>
        <v>12538.939639999999</v>
      </c>
      <c r="AM69" s="114"/>
      <c r="AN69" s="115">
        <f t="shared" si="145"/>
        <v>19228.597062240002</v>
      </c>
      <c r="AO69" s="114"/>
      <c r="AP69" s="66">
        <f t="shared" si="146"/>
        <v>44600.689418378999</v>
      </c>
      <c r="AQ69" s="55">
        <f t="shared" si="147"/>
        <v>3714.6875570375933</v>
      </c>
      <c r="AR69" s="16">
        <f t="shared" si="148"/>
        <v>30776.353482037593</v>
      </c>
      <c r="AS69" s="55">
        <f t="shared" si="149"/>
        <v>5680.8437789752425</v>
      </c>
      <c r="AT69" s="55">
        <f t="shared" si="150"/>
        <v>4807.1492655600005</v>
      </c>
      <c r="AU69" s="55">
        <f t="shared" si="151"/>
        <v>873.694513415242</v>
      </c>
      <c r="AV69" s="16">
        <f t="shared" si="152"/>
        <v>34491.041039075186</v>
      </c>
      <c r="AW69" s="56">
        <f t="shared" si="153"/>
        <v>0.23520000000000002</v>
      </c>
      <c r="AX69" s="62">
        <f t="shared" si="154"/>
        <v>10490.082151202741</v>
      </c>
      <c r="AY69" s="62">
        <f t="shared" si="155"/>
        <v>41960.328604810966</v>
      </c>
      <c r="AZ69" s="116"/>
      <c r="BA69" s="116">
        <f t="shared" si="156"/>
        <v>75377.042900416593</v>
      </c>
      <c r="BB69" s="66">
        <f t="shared" si="157"/>
        <v>19191.55052813331</v>
      </c>
      <c r="BC69" s="66">
        <f t="shared" si="158"/>
        <v>4807.1492655600005</v>
      </c>
      <c r="BD69" s="66">
        <f t="shared" si="159"/>
        <v>14384.401262573308</v>
      </c>
      <c r="BE69" s="66">
        <f t="shared" si="160"/>
        <v>57537.605050293234</v>
      </c>
      <c r="BF69" s="117"/>
      <c r="BG69" s="62">
        <f t="shared" si="161"/>
        <v>324739.99109999998</v>
      </c>
      <c r="BH69" s="113">
        <f t="shared" si="162"/>
        <v>44600.689418378999</v>
      </c>
      <c r="BI69" s="113">
        <f t="shared" si="163"/>
        <v>369340.68051837897</v>
      </c>
      <c r="BJ69" s="66">
        <f t="shared" si="164"/>
        <v>68175.899209922733</v>
      </c>
      <c r="BK69" s="66">
        <f t="shared" si="165"/>
        <v>57685.791186720002</v>
      </c>
      <c r="BL69" s="55">
        <f t="shared" si="167"/>
        <v>10490.108023202731</v>
      </c>
      <c r="BM69" s="55">
        <f t="shared" si="166"/>
        <v>41960.432092810923</v>
      </c>
      <c r="BN69" s="67"/>
    </row>
    <row r="70" spans="2:66" x14ac:dyDescent="0.2">
      <c r="B70" s="75" t="s">
        <v>91</v>
      </c>
      <c r="C70" s="76">
        <v>9</v>
      </c>
      <c r="D70" s="100">
        <v>230389</v>
      </c>
      <c r="E70" s="100"/>
      <c r="F70" s="100"/>
      <c r="G70" s="100">
        <v>230389</v>
      </c>
      <c r="H70" s="100">
        <v>306676</v>
      </c>
      <c r="I70" s="100">
        <v>3680112</v>
      </c>
      <c r="J70" s="100"/>
      <c r="K70" s="100"/>
      <c r="L70" s="100">
        <v>55444.772911187203</v>
      </c>
      <c r="M70" s="100">
        <v>554447.72911187203</v>
      </c>
      <c r="N70" s="100"/>
      <c r="O70" s="100">
        <v>151804.62000000002</v>
      </c>
      <c r="P70" s="100">
        <v>151389.25630970584</v>
      </c>
      <c r="Q70" s="100">
        <v>130267.32904875002</v>
      </c>
      <c r="R70" s="100">
        <v>110403.36000000002</v>
      </c>
      <c r="S70" s="100">
        <v>644019.59999999986</v>
      </c>
      <c r="T70" s="100">
        <v>69735.72</v>
      </c>
      <c r="U70" s="100">
        <v>4170.1394625000003</v>
      </c>
      <c r="V70" s="100">
        <v>79429.660199999984</v>
      </c>
      <c r="W70" s="100">
        <v>4170.1394625000003</v>
      </c>
      <c r="X70" s="100">
        <v>79429.660199999984</v>
      </c>
      <c r="Y70" s="100">
        <v>0</v>
      </c>
      <c r="Z70" s="100">
        <v>116974</v>
      </c>
      <c r="AA70" s="42"/>
      <c r="AB70" s="42"/>
      <c r="AC70" s="60"/>
      <c r="AD70" s="61"/>
      <c r="AE70" s="61"/>
      <c r="AF70" s="62"/>
      <c r="AG70" s="62"/>
      <c r="AH70" s="62"/>
      <c r="AI70" s="62"/>
      <c r="AJ70" s="62"/>
      <c r="AK70" s="62"/>
      <c r="AL70" s="62"/>
      <c r="AN70" s="27"/>
      <c r="AP70" s="55"/>
      <c r="AQ70" s="55"/>
      <c r="AR70" s="16"/>
      <c r="AS70" s="16"/>
      <c r="AT70" s="55"/>
      <c r="AU70" s="55"/>
      <c r="AV70" s="55"/>
      <c r="AW70" s="93"/>
      <c r="AX70" s="62"/>
      <c r="AY70" s="62"/>
      <c r="AZ70" s="16"/>
      <c r="BA70" s="16"/>
      <c r="BB70" s="55"/>
      <c r="BC70" s="55"/>
      <c r="BD70" s="55"/>
      <c r="BE70" s="55">
        <f t="shared" si="160"/>
        <v>0</v>
      </c>
      <c r="BF70" s="56"/>
      <c r="BG70" s="62"/>
      <c r="BH70" s="62"/>
      <c r="BI70" s="62"/>
      <c r="BJ70" s="55"/>
      <c r="BK70" s="55"/>
      <c r="BL70" s="55"/>
      <c r="BM70" s="55"/>
      <c r="BN70" s="67"/>
    </row>
    <row r="71" spans="2:66" x14ac:dyDescent="0.2">
      <c r="B71" s="118" t="s">
        <v>151</v>
      </c>
      <c r="C71" s="119"/>
      <c r="D71" s="65"/>
      <c r="E71" s="119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3"/>
      <c r="AB71" s="42"/>
      <c r="AC71" s="60"/>
      <c r="AD71" s="61"/>
      <c r="AE71" s="61"/>
      <c r="AF71" s="62"/>
      <c r="AG71" s="62"/>
      <c r="AH71" s="62"/>
      <c r="AI71" s="62"/>
      <c r="AJ71" s="62"/>
      <c r="AK71" s="62"/>
      <c r="AL71" s="62"/>
      <c r="AN71" s="27"/>
      <c r="AP71" s="55"/>
      <c r="AQ71" s="55"/>
      <c r="AR71" s="16"/>
      <c r="AS71" s="16"/>
      <c r="AT71" s="55"/>
      <c r="AU71" s="55"/>
      <c r="AV71" s="55"/>
      <c r="AW71" s="93"/>
      <c r="AX71" s="62"/>
      <c r="AY71" s="62"/>
      <c r="AZ71" s="16"/>
      <c r="BA71" s="16"/>
      <c r="BB71" s="55"/>
      <c r="BC71" s="55"/>
      <c r="BD71" s="55"/>
      <c r="BE71" s="55">
        <f t="shared" si="160"/>
        <v>0</v>
      </c>
      <c r="BF71" s="56"/>
      <c r="BG71" s="62"/>
      <c r="BH71" s="62"/>
      <c r="BI71" s="62"/>
      <c r="BJ71" s="55"/>
      <c r="BK71" s="55"/>
      <c r="BL71" s="55"/>
      <c r="BM71" s="55"/>
      <c r="BN71" s="67"/>
    </row>
    <row r="72" spans="2:66" x14ac:dyDescent="0.2">
      <c r="B72" s="95" t="s">
        <v>137</v>
      </c>
      <c r="C72" s="64">
        <v>1</v>
      </c>
      <c r="D72" s="65">
        <v>80000</v>
      </c>
      <c r="E72" s="64"/>
      <c r="F72" s="65">
        <v>26400</v>
      </c>
      <c r="G72" s="65">
        <v>80000</v>
      </c>
      <c r="H72" s="65">
        <v>80000</v>
      </c>
      <c r="I72" s="65">
        <v>960000</v>
      </c>
      <c r="J72" s="65">
        <v>11792.366666666667</v>
      </c>
      <c r="K72" s="65">
        <v>2254.9872146118719</v>
      </c>
      <c r="L72" s="65">
        <v>14047.353881278539</v>
      </c>
      <c r="M72" s="65">
        <v>140473.53881278538</v>
      </c>
      <c r="N72" s="65">
        <v>39600</v>
      </c>
      <c r="O72" s="65">
        <v>39600</v>
      </c>
      <c r="P72" s="65">
        <v>46420.773796347057</v>
      </c>
      <c r="Q72" s="65">
        <v>20165.973968749997</v>
      </c>
      <c r="R72" s="65">
        <v>28800</v>
      </c>
      <c r="S72" s="65">
        <v>168000</v>
      </c>
      <c r="T72" s="65">
        <v>13588.199999999999</v>
      </c>
      <c r="U72" s="65">
        <v>478.50000000000006</v>
      </c>
      <c r="V72" s="65">
        <v>5742.0000000000009</v>
      </c>
      <c r="W72" s="65">
        <v>478.50000000000006</v>
      </c>
      <c r="X72" s="65">
        <v>5742.0000000000009</v>
      </c>
      <c r="Y72" s="65">
        <v>0</v>
      </c>
      <c r="Z72" s="65">
        <v>0</v>
      </c>
      <c r="AA72" s="42"/>
      <c r="AB72" s="42">
        <f t="shared" ref="AB72:AB77" si="168">+G72/30</f>
        <v>2666.6666666666665</v>
      </c>
      <c r="AC72" s="60">
        <f t="shared" ref="AC72:AC77" si="169">IF(((U72/30)&lt;$AH$4),0,((U72/30)-$AH$4))</f>
        <v>0</v>
      </c>
      <c r="AD72" s="61">
        <f t="shared" ref="AD72:AD77" si="170">+AB72+AC72</f>
        <v>2666.6666666666665</v>
      </c>
      <c r="AE72" s="61">
        <f t="shared" ref="AE72:AE77" si="171">IF((AD72*$AH$3)&gt;$AI$6,$AI$6,(AD72*$AH$3))</f>
        <v>1887.2499999999998</v>
      </c>
      <c r="AF72" s="62">
        <f t="shared" ref="AF72:AF77" si="172">+$AL$1*$AL$2*$AF$9</f>
        <v>5620.9853999999996</v>
      </c>
      <c r="AG72" s="62">
        <f t="shared" ref="AG72:AG77" si="173">+IF(AE72&gt;($AH$6*3),(AE72-($AH$6*3))*$AG$8,0)*$AG$9</f>
        <v>6668.0316999999986</v>
      </c>
      <c r="AH72" s="62">
        <f t="shared" ref="AH72:AH77" si="174">+IF(AE72&gt;($AH$6*3),(AE72-($AH$6*3))*$AH$8,0)*$AH$9</f>
        <v>2424.7387999999996</v>
      </c>
      <c r="AI72" s="62">
        <f t="shared" ref="AI72:AI77" si="175">+(AE72*$AI$9)*$AI$8</f>
        <v>5452.2180687499995</v>
      </c>
      <c r="AJ72" s="62">
        <f t="shared" ref="AJ72:AJ83" si="176">+AF72+AG72+AI72</f>
        <v>17741.235168749998</v>
      </c>
      <c r="AK72" s="62">
        <f t="shared" ref="AK72:AK83" si="177">+AH72</f>
        <v>2424.7387999999996</v>
      </c>
      <c r="AL72" s="62">
        <f t="shared" ref="AL72:AL83" si="178">+AJ72+AK72</f>
        <v>20165.973968749997</v>
      </c>
      <c r="AN72" s="27">
        <f t="shared" ref="AN72:AN77" si="179">+AT72*C72</f>
        <v>20977.1368</v>
      </c>
      <c r="AP72" s="66">
        <f t="shared" ref="AP72:AP77" si="180">+((M72/C72)-($AL$2*30))</f>
        <v>138208.83881278537</v>
      </c>
      <c r="AQ72" s="55">
        <f t="shared" ref="AQ72:AQ77" si="181">+AP72/365*30.4</f>
        <v>11511.092328516917</v>
      </c>
      <c r="AR72" s="16">
        <f t="shared" ref="AR72:AR77" si="182">+G72+U72+W72+AQ72</f>
        <v>92468.092328516912</v>
      </c>
      <c r="AS72" s="55">
        <f t="shared" ref="AS72:AS77" si="183">((AR72-VLOOKUP(AR72,$BO$17:$BR$39,1))*VLOOKUP(AR72,$BO$17:$BR$39,4)+VLOOKUP(AR72,$BO$17:$BR$39,3))-VLOOKUP(AR72,$BT$17:$BV$39,3)</f>
        <v>24843.38579169575</v>
      </c>
      <c r="AT72" s="55">
        <f t="shared" ref="AT72:AT77" si="184">(((G72+U72+W72)-VLOOKUP((G72+U72+W72),$BO$17:$BR$39,1))*VLOOKUP((G72+U72+W72),$BO$17:$BR$39,4)+VLOOKUP((G72+U72+W72),$BO$17:$BR$39,3))-VLOOKUP((G72+U72+W72),$BT$17:$BV$39,3)</f>
        <v>20977.1368</v>
      </c>
      <c r="AU72" s="55">
        <f t="shared" ref="AU72:AU77" si="185">+AS72-AT72</f>
        <v>3866.2489916957493</v>
      </c>
      <c r="AV72" s="16">
        <f t="shared" ref="AV72:AV77" si="186">+AR72+AQ72</f>
        <v>103979.18465703382</v>
      </c>
      <c r="AW72" s="56">
        <f t="shared" ref="AW72:AW77" si="187">+(AU72/AQ72)</f>
        <v>0.33587159944132555</v>
      </c>
      <c r="AX72" s="62">
        <f t="shared" ref="AX72:AX77" si="188">+AP72*AW72</f>
        <v>46420.423748978574</v>
      </c>
      <c r="AY72" s="62">
        <f t="shared" ref="AY72:AY77" si="189">+AX72*C72</f>
        <v>46420.423748978574</v>
      </c>
      <c r="AZ72" s="16"/>
      <c r="BA72" s="16">
        <f t="shared" ref="BA72:BA77" si="190">+AP72+AR72</f>
        <v>230676.93114130228</v>
      </c>
      <c r="BB72" s="55">
        <f t="shared" ref="BB72:BB77" si="191">((BA72-VLOOKUP(BA72,$BO$17:$BR$39,1))*VLOOKUP(BA72,$BO$17:$BR$39,4)+VLOOKUP(BA72,$BO$17:$BR$39,3))-VLOOKUP(BA72,$BT$17:$BV$39,3)</f>
        <v>71834.390988042782</v>
      </c>
      <c r="BC72" s="55">
        <f t="shared" ref="BC72:BC77" si="192">+AT72</f>
        <v>20977.1368</v>
      </c>
      <c r="BD72" s="55">
        <f t="shared" ref="BD72:BD83" si="193">+BB72-BC72</f>
        <v>50857.254188042782</v>
      </c>
      <c r="BE72" s="55">
        <f t="shared" si="160"/>
        <v>50857.254188042782</v>
      </c>
      <c r="BF72" s="56"/>
      <c r="BG72" s="62">
        <f t="shared" ref="BG72:BG77" si="194">+(G72+U72+W72)*12</f>
        <v>971484</v>
      </c>
      <c r="BH72" s="62">
        <f t="shared" ref="BH72:BH77" si="195">+AP72</f>
        <v>138208.83881278537</v>
      </c>
      <c r="BI72" s="62">
        <f t="shared" si="46"/>
        <v>1109692.8388127855</v>
      </c>
      <c r="BJ72" s="55">
        <f t="shared" ref="BJ72:BJ77" si="196">((BI72-VLOOKUP(BI72,$BO$45:$BR$61,1))*VLOOKUP(BI72,$BO$45:$BR$61,4)+VLOOKUP(BI72,$BO$45:$BR$61,3))</f>
        <v>298146.41539634706</v>
      </c>
      <c r="BK72" s="55">
        <f t="shared" ref="BK72:BK77" si="197">+AT72*12</f>
        <v>251725.6416</v>
      </c>
      <c r="BL72" s="55">
        <f t="shared" ref="BL72:BL77" si="198">+BJ72-BK72</f>
        <v>46420.773796347057</v>
      </c>
      <c r="BM72" s="55">
        <f t="shared" ref="BM72:BM77" si="199">+BL72*C72</f>
        <v>46420.773796347057</v>
      </c>
      <c r="BN72" s="67"/>
    </row>
    <row r="73" spans="2:66" x14ac:dyDescent="0.2">
      <c r="B73" s="95" t="s">
        <v>152</v>
      </c>
      <c r="C73" s="64">
        <v>1</v>
      </c>
      <c r="D73" s="65">
        <v>33058</v>
      </c>
      <c r="E73" s="64"/>
      <c r="F73" s="65">
        <v>10909.140000000001</v>
      </c>
      <c r="G73" s="65">
        <v>33058</v>
      </c>
      <c r="H73" s="65">
        <v>33058</v>
      </c>
      <c r="I73" s="65">
        <v>396696</v>
      </c>
      <c r="J73" s="65">
        <v>5022.0955847031955</v>
      </c>
      <c r="K73" s="65">
        <v>953.33108538812769</v>
      </c>
      <c r="L73" s="65">
        <v>5975.4266700913231</v>
      </c>
      <c r="M73" s="65">
        <v>59754.266700913227</v>
      </c>
      <c r="N73" s="65">
        <v>16363.710000000003</v>
      </c>
      <c r="O73" s="65">
        <v>16363.710000000003</v>
      </c>
      <c r="P73" s="65">
        <v>17246.903010273963</v>
      </c>
      <c r="Q73" s="65">
        <v>14986.399130000002</v>
      </c>
      <c r="R73" s="65">
        <v>11900.880000000001</v>
      </c>
      <c r="S73" s="65">
        <v>69421.799999999988</v>
      </c>
      <c r="T73" s="65">
        <v>7933.92</v>
      </c>
      <c r="U73" s="65">
        <v>709.85474999999997</v>
      </c>
      <c r="V73" s="65">
        <v>8518.2569999999996</v>
      </c>
      <c r="W73" s="65">
        <v>709.85474999999997</v>
      </c>
      <c r="X73" s="65">
        <v>8518.2569999999996</v>
      </c>
      <c r="Y73" s="65">
        <v>0</v>
      </c>
      <c r="Z73" s="65">
        <v>16529</v>
      </c>
      <c r="AA73" s="3"/>
      <c r="AB73" s="42">
        <f t="shared" si="168"/>
        <v>1101.9333333333334</v>
      </c>
      <c r="AC73" s="60">
        <f t="shared" si="169"/>
        <v>0</v>
      </c>
      <c r="AD73" s="61">
        <f t="shared" si="170"/>
        <v>1101.9333333333334</v>
      </c>
      <c r="AE73" s="61">
        <f t="shared" si="171"/>
        <v>1267.9780821917809</v>
      </c>
      <c r="AF73" s="62">
        <f t="shared" si="172"/>
        <v>5620.9853999999996</v>
      </c>
      <c r="AG73" s="62">
        <f t="shared" si="173"/>
        <v>4181.6549500000001</v>
      </c>
      <c r="AH73" s="62">
        <f t="shared" si="174"/>
        <v>1520.6017999999999</v>
      </c>
      <c r="AI73" s="62">
        <f t="shared" si="175"/>
        <v>3663.1569800000007</v>
      </c>
      <c r="AJ73" s="62">
        <f t="shared" si="176"/>
        <v>13465.797330000001</v>
      </c>
      <c r="AK73" s="62">
        <f t="shared" si="177"/>
        <v>1520.6017999999999</v>
      </c>
      <c r="AL73" s="62">
        <f t="shared" si="178"/>
        <v>14986.399130000002</v>
      </c>
      <c r="AN73" s="27">
        <f t="shared" si="179"/>
        <v>6664.2108499999986</v>
      </c>
      <c r="AP73" s="66">
        <f t="shared" si="180"/>
        <v>57489.56670091323</v>
      </c>
      <c r="AQ73" s="55">
        <f t="shared" si="181"/>
        <v>4788.1721307061971</v>
      </c>
      <c r="AR73" s="16">
        <f t="shared" si="182"/>
        <v>39265.881630706193</v>
      </c>
      <c r="AS73" s="55">
        <f t="shared" si="183"/>
        <v>8100.662489211858</v>
      </c>
      <c r="AT73" s="55">
        <f t="shared" si="184"/>
        <v>6664.2108499999986</v>
      </c>
      <c r="AU73" s="55">
        <f t="shared" si="185"/>
        <v>1436.4516392118594</v>
      </c>
      <c r="AV73" s="16">
        <f t="shared" si="186"/>
        <v>44054.05376141239</v>
      </c>
      <c r="AW73" s="56">
        <f t="shared" si="187"/>
        <v>0.30000000000000004</v>
      </c>
      <c r="AX73" s="62">
        <f t="shared" si="188"/>
        <v>17246.870010273971</v>
      </c>
      <c r="AY73" s="62">
        <f t="shared" si="189"/>
        <v>17246.870010273971</v>
      </c>
      <c r="AZ73" s="16"/>
      <c r="BA73" s="16">
        <f t="shared" si="190"/>
        <v>96755.448331619424</v>
      </c>
      <c r="BB73" s="55">
        <f t="shared" si="191"/>
        <v>26301.086832750603</v>
      </c>
      <c r="BC73" s="55">
        <f t="shared" si="192"/>
        <v>6664.2108499999986</v>
      </c>
      <c r="BD73" s="55">
        <f t="shared" si="193"/>
        <v>19636.875982750604</v>
      </c>
      <c r="BE73" s="55">
        <f t="shared" si="160"/>
        <v>19636.875982750604</v>
      </c>
      <c r="BF73" s="56"/>
      <c r="BG73" s="62">
        <f t="shared" si="194"/>
        <v>413732.51399999997</v>
      </c>
      <c r="BH73" s="62">
        <f t="shared" si="195"/>
        <v>57489.56670091323</v>
      </c>
      <c r="BI73" s="62">
        <f t="shared" si="46"/>
        <v>471222.08070091321</v>
      </c>
      <c r="BJ73" s="55">
        <f t="shared" si="196"/>
        <v>97217.433210273943</v>
      </c>
      <c r="BK73" s="55">
        <f t="shared" si="197"/>
        <v>79970.530199999979</v>
      </c>
      <c r="BL73" s="55">
        <f t="shared" si="198"/>
        <v>17246.903010273963</v>
      </c>
      <c r="BM73" s="55">
        <f t="shared" si="199"/>
        <v>17246.903010273963</v>
      </c>
      <c r="BN73" s="67"/>
    </row>
    <row r="74" spans="2:66" x14ac:dyDescent="0.2">
      <c r="B74" s="96" t="s">
        <v>153</v>
      </c>
      <c r="C74" s="99">
        <v>1</v>
      </c>
      <c r="D74" s="65">
        <v>33058</v>
      </c>
      <c r="E74" s="99"/>
      <c r="F74" s="65">
        <v>10909.140000000001</v>
      </c>
      <c r="G74" s="65">
        <v>33058</v>
      </c>
      <c r="H74" s="65">
        <v>33058</v>
      </c>
      <c r="I74" s="65">
        <v>396696</v>
      </c>
      <c r="J74" s="65">
        <v>5022.0955847031955</v>
      </c>
      <c r="K74" s="65">
        <v>953.33108538812769</v>
      </c>
      <c r="L74" s="65">
        <v>5975.4266700913231</v>
      </c>
      <c r="M74" s="65">
        <v>59754.266700913227</v>
      </c>
      <c r="N74" s="65">
        <v>16363.710000000003</v>
      </c>
      <c r="O74" s="65">
        <v>16363.710000000003</v>
      </c>
      <c r="P74" s="65">
        <v>17246.903010273963</v>
      </c>
      <c r="Q74" s="65">
        <v>14986.399130000002</v>
      </c>
      <c r="R74" s="65">
        <v>11900.880000000001</v>
      </c>
      <c r="S74" s="65">
        <v>69421.799999999988</v>
      </c>
      <c r="T74" s="65">
        <v>7933.92</v>
      </c>
      <c r="U74" s="65">
        <v>709.85474999999997</v>
      </c>
      <c r="V74" s="65">
        <v>8518.2569999999996</v>
      </c>
      <c r="W74" s="65">
        <v>709.85474999999997</v>
      </c>
      <c r="X74" s="65">
        <v>8518.2569999999996</v>
      </c>
      <c r="Y74" s="65">
        <v>0</v>
      </c>
      <c r="Z74" s="65">
        <v>16529</v>
      </c>
      <c r="AA74" s="3"/>
      <c r="AB74" s="42">
        <f t="shared" si="168"/>
        <v>1101.9333333333334</v>
      </c>
      <c r="AC74" s="60">
        <f t="shared" si="169"/>
        <v>0</v>
      </c>
      <c r="AD74" s="61">
        <f t="shared" si="170"/>
        <v>1101.9333333333334</v>
      </c>
      <c r="AE74" s="61">
        <f t="shared" si="171"/>
        <v>1267.9780821917809</v>
      </c>
      <c r="AF74" s="62">
        <f t="shared" si="172"/>
        <v>5620.9853999999996</v>
      </c>
      <c r="AG74" s="62">
        <f t="shared" si="173"/>
        <v>4181.6549500000001</v>
      </c>
      <c r="AH74" s="62">
        <f t="shared" si="174"/>
        <v>1520.6017999999999</v>
      </c>
      <c r="AI74" s="62">
        <f t="shared" si="175"/>
        <v>3663.1569800000007</v>
      </c>
      <c r="AJ74" s="62">
        <f t="shared" si="176"/>
        <v>13465.797330000001</v>
      </c>
      <c r="AK74" s="62">
        <f t="shared" si="177"/>
        <v>1520.6017999999999</v>
      </c>
      <c r="AL74" s="62">
        <f t="shared" si="178"/>
        <v>14986.399130000002</v>
      </c>
      <c r="AN74" s="27">
        <f t="shared" si="179"/>
        <v>6664.2108499999986</v>
      </c>
      <c r="AP74" s="66">
        <f t="shared" si="180"/>
        <v>57489.56670091323</v>
      </c>
      <c r="AQ74" s="55">
        <f t="shared" si="181"/>
        <v>4788.1721307061971</v>
      </c>
      <c r="AR74" s="16">
        <f t="shared" si="182"/>
        <v>39265.881630706193</v>
      </c>
      <c r="AS74" s="55">
        <f t="shared" si="183"/>
        <v>8100.662489211858</v>
      </c>
      <c r="AT74" s="55">
        <f t="shared" si="184"/>
        <v>6664.2108499999986</v>
      </c>
      <c r="AU74" s="55">
        <f t="shared" si="185"/>
        <v>1436.4516392118594</v>
      </c>
      <c r="AV74" s="16">
        <f t="shared" si="186"/>
        <v>44054.05376141239</v>
      </c>
      <c r="AW74" s="56">
        <f t="shared" si="187"/>
        <v>0.30000000000000004</v>
      </c>
      <c r="AX74" s="62">
        <f t="shared" si="188"/>
        <v>17246.870010273971</v>
      </c>
      <c r="AY74" s="62">
        <f t="shared" si="189"/>
        <v>17246.870010273971</v>
      </c>
      <c r="AZ74" s="16"/>
      <c r="BA74" s="16">
        <f t="shared" si="190"/>
        <v>96755.448331619424</v>
      </c>
      <c r="BB74" s="55">
        <f t="shared" si="191"/>
        <v>26301.086832750603</v>
      </c>
      <c r="BC74" s="55">
        <f t="shared" si="192"/>
        <v>6664.2108499999986</v>
      </c>
      <c r="BD74" s="55">
        <f t="shared" si="193"/>
        <v>19636.875982750604</v>
      </c>
      <c r="BE74" s="55">
        <f t="shared" si="160"/>
        <v>19636.875982750604</v>
      </c>
      <c r="BF74" s="56"/>
      <c r="BG74" s="62">
        <f t="shared" si="194"/>
        <v>413732.51399999997</v>
      </c>
      <c r="BH74" s="62">
        <f t="shared" si="195"/>
        <v>57489.56670091323</v>
      </c>
      <c r="BI74" s="62">
        <f t="shared" si="46"/>
        <v>471222.08070091321</v>
      </c>
      <c r="BJ74" s="55">
        <f t="shared" si="196"/>
        <v>97217.433210273943</v>
      </c>
      <c r="BK74" s="55">
        <f t="shared" si="197"/>
        <v>79970.530199999979</v>
      </c>
      <c r="BL74" s="55">
        <f t="shared" si="198"/>
        <v>17246.903010273963</v>
      </c>
      <c r="BM74" s="55">
        <f t="shared" si="199"/>
        <v>17246.903010273963</v>
      </c>
      <c r="BN74" s="67"/>
    </row>
    <row r="75" spans="2:66" x14ac:dyDescent="0.2">
      <c r="B75" s="96" t="s">
        <v>154</v>
      </c>
      <c r="C75" s="99">
        <v>1</v>
      </c>
      <c r="D75" s="65">
        <v>33058</v>
      </c>
      <c r="E75" s="99"/>
      <c r="F75" s="65">
        <v>10909.140000000001</v>
      </c>
      <c r="G75" s="65">
        <v>33058</v>
      </c>
      <c r="H75" s="65">
        <v>33058</v>
      </c>
      <c r="I75" s="65">
        <v>396696</v>
      </c>
      <c r="J75" s="65">
        <v>5022.0955847031955</v>
      </c>
      <c r="K75" s="65">
        <v>953.33108538812769</v>
      </c>
      <c r="L75" s="65">
        <v>5975.4266700913231</v>
      </c>
      <c r="M75" s="65">
        <v>59754.266700913227</v>
      </c>
      <c r="N75" s="65">
        <v>16363.710000000003</v>
      </c>
      <c r="O75" s="65">
        <v>16363.710000000003</v>
      </c>
      <c r="P75" s="65">
        <v>17246.903010273963</v>
      </c>
      <c r="Q75" s="65">
        <v>14986.399130000002</v>
      </c>
      <c r="R75" s="65">
        <v>11900.880000000001</v>
      </c>
      <c r="S75" s="65">
        <v>69421.799999999988</v>
      </c>
      <c r="T75" s="65">
        <v>7933.92</v>
      </c>
      <c r="U75" s="65">
        <v>709.85474999999997</v>
      </c>
      <c r="V75" s="65">
        <v>8518.2569999999996</v>
      </c>
      <c r="W75" s="65">
        <v>709.85474999999997</v>
      </c>
      <c r="X75" s="65">
        <v>8518.2569999999996</v>
      </c>
      <c r="Y75" s="65">
        <v>0</v>
      </c>
      <c r="Z75" s="65">
        <v>16529</v>
      </c>
      <c r="AA75" s="42"/>
      <c r="AB75" s="42">
        <f t="shared" si="168"/>
        <v>1101.9333333333334</v>
      </c>
      <c r="AC75" s="60">
        <f t="shared" si="169"/>
        <v>0</v>
      </c>
      <c r="AD75" s="61">
        <f t="shared" si="170"/>
        <v>1101.9333333333334</v>
      </c>
      <c r="AE75" s="61">
        <f t="shared" si="171"/>
        <v>1267.9780821917809</v>
      </c>
      <c r="AF75" s="62">
        <f t="shared" si="172"/>
        <v>5620.9853999999996</v>
      </c>
      <c r="AG75" s="62">
        <f t="shared" si="173"/>
        <v>4181.6549500000001</v>
      </c>
      <c r="AH75" s="62">
        <f t="shared" si="174"/>
        <v>1520.6017999999999</v>
      </c>
      <c r="AI75" s="62">
        <f t="shared" si="175"/>
        <v>3663.1569800000007</v>
      </c>
      <c r="AJ75" s="62">
        <f t="shared" si="176"/>
        <v>13465.797330000001</v>
      </c>
      <c r="AK75" s="62">
        <f t="shared" si="177"/>
        <v>1520.6017999999999</v>
      </c>
      <c r="AL75" s="62">
        <f t="shared" si="178"/>
        <v>14986.399130000002</v>
      </c>
      <c r="AN75" s="27">
        <f t="shared" si="179"/>
        <v>6664.2108499999986</v>
      </c>
      <c r="AP75" s="66">
        <f t="shared" si="180"/>
        <v>57489.56670091323</v>
      </c>
      <c r="AQ75" s="55">
        <f t="shared" si="181"/>
        <v>4788.1721307061971</v>
      </c>
      <c r="AR75" s="16">
        <f t="shared" si="182"/>
        <v>39265.881630706193</v>
      </c>
      <c r="AS75" s="55">
        <f t="shared" si="183"/>
        <v>8100.662489211858</v>
      </c>
      <c r="AT75" s="55">
        <f t="shared" si="184"/>
        <v>6664.2108499999986</v>
      </c>
      <c r="AU75" s="55">
        <f t="shared" si="185"/>
        <v>1436.4516392118594</v>
      </c>
      <c r="AV75" s="16">
        <f t="shared" si="186"/>
        <v>44054.05376141239</v>
      </c>
      <c r="AW75" s="56">
        <f t="shared" si="187"/>
        <v>0.30000000000000004</v>
      </c>
      <c r="AX75" s="62">
        <f t="shared" si="188"/>
        <v>17246.870010273971</v>
      </c>
      <c r="AY75" s="62">
        <f t="shared" si="189"/>
        <v>17246.870010273971</v>
      </c>
      <c r="AZ75" s="16"/>
      <c r="BA75" s="16">
        <f t="shared" si="190"/>
        <v>96755.448331619424</v>
      </c>
      <c r="BB75" s="55">
        <f t="shared" si="191"/>
        <v>26301.086832750603</v>
      </c>
      <c r="BC75" s="55">
        <f t="shared" si="192"/>
        <v>6664.2108499999986</v>
      </c>
      <c r="BD75" s="55">
        <f t="shared" si="193"/>
        <v>19636.875982750604</v>
      </c>
      <c r="BE75" s="55">
        <f t="shared" si="160"/>
        <v>19636.875982750604</v>
      </c>
      <c r="BF75" s="56"/>
      <c r="BG75" s="62">
        <f t="shared" si="194"/>
        <v>413732.51399999997</v>
      </c>
      <c r="BH75" s="62">
        <f t="shared" si="195"/>
        <v>57489.56670091323</v>
      </c>
      <c r="BI75" s="62">
        <f t="shared" si="46"/>
        <v>471222.08070091321</v>
      </c>
      <c r="BJ75" s="55">
        <f t="shared" si="196"/>
        <v>97217.433210273943</v>
      </c>
      <c r="BK75" s="55">
        <f t="shared" si="197"/>
        <v>79970.530199999979</v>
      </c>
      <c r="BL75" s="55">
        <f t="shared" si="198"/>
        <v>17246.903010273963</v>
      </c>
      <c r="BM75" s="55">
        <f t="shared" si="199"/>
        <v>17246.903010273963</v>
      </c>
      <c r="BN75" s="67"/>
    </row>
    <row r="76" spans="2:66" x14ac:dyDescent="0.2">
      <c r="B76" s="96" t="s">
        <v>123</v>
      </c>
      <c r="C76" s="99">
        <v>4</v>
      </c>
      <c r="D76" s="65">
        <v>25429</v>
      </c>
      <c r="E76" s="99"/>
      <c r="F76" s="65">
        <v>8391.57</v>
      </c>
      <c r="G76" s="65">
        <v>25429</v>
      </c>
      <c r="H76" s="65">
        <v>101716</v>
      </c>
      <c r="I76" s="65">
        <v>1220592</v>
      </c>
      <c r="J76" s="65">
        <v>3941.8591004908681</v>
      </c>
      <c r="K76" s="65">
        <v>744.67984134703181</v>
      </c>
      <c r="L76" s="65">
        <v>18746.1557673516</v>
      </c>
      <c r="M76" s="65">
        <v>187461.55767351598</v>
      </c>
      <c r="N76" s="65">
        <v>12587.355</v>
      </c>
      <c r="O76" s="65">
        <v>50349.42</v>
      </c>
      <c r="P76" s="65">
        <v>41960.432092810923</v>
      </c>
      <c r="Q76" s="65">
        <v>50155.758559999995</v>
      </c>
      <c r="R76" s="65">
        <v>36617.760000000002</v>
      </c>
      <c r="S76" s="65">
        <v>213603.59999999998</v>
      </c>
      <c r="T76" s="65">
        <v>24411.84</v>
      </c>
      <c r="U76" s="65">
        <v>816.33296249999989</v>
      </c>
      <c r="V76" s="65">
        <v>39183.982199999999</v>
      </c>
      <c r="W76" s="65">
        <v>816.33296249999989</v>
      </c>
      <c r="X76" s="65">
        <v>39183.982199999999</v>
      </c>
      <c r="Y76" s="65">
        <v>0</v>
      </c>
      <c r="Z76" s="65">
        <v>50858</v>
      </c>
      <c r="AA76" s="3"/>
      <c r="AB76" s="42">
        <f t="shared" si="168"/>
        <v>847.63333333333333</v>
      </c>
      <c r="AC76" s="60">
        <f t="shared" si="169"/>
        <v>0</v>
      </c>
      <c r="AD76" s="61">
        <f t="shared" si="170"/>
        <v>847.63333333333333</v>
      </c>
      <c r="AE76" s="61">
        <f t="shared" si="171"/>
        <v>975.35890410958893</v>
      </c>
      <c r="AF76" s="62">
        <f t="shared" si="172"/>
        <v>5620.9853999999996</v>
      </c>
      <c r="AG76" s="62">
        <f t="shared" si="173"/>
        <v>3006.7889500000001</v>
      </c>
      <c r="AH76" s="62">
        <f t="shared" si="174"/>
        <v>1093.3778</v>
      </c>
      <c r="AI76" s="62">
        <f t="shared" si="175"/>
        <v>2817.7874899999997</v>
      </c>
      <c r="AJ76" s="62">
        <f t="shared" si="176"/>
        <v>11445.561839999998</v>
      </c>
      <c r="AK76" s="62">
        <f t="shared" si="177"/>
        <v>1093.3778</v>
      </c>
      <c r="AL76" s="62">
        <f t="shared" si="178"/>
        <v>12538.939639999999</v>
      </c>
      <c r="AN76" s="27">
        <f t="shared" si="179"/>
        <v>19228.597062240002</v>
      </c>
      <c r="AP76" s="66">
        <f t="shared" si="180"/>
        <v>44600.689418378999</v>
      </c>
      <c r="AQ76" s="55">
        <f t="shared" si="181"/>
        <v>3714.6875570375933</v>
      </c>
      <c r="AR76" s="16">
        <f t="shared" si="182"/>
        <v>30776.353482037593</v>
      </c>
      <c r="AS76" s="55">
        <f t="shared" si="183"/>
        <v>5680.8437789752425</v>
      </c>
      <c r="AT76" s="55">
        <f t="shared" si="184"/>
        <v>4807.1492655600005</v>
      </c>
      <c r="AU76" s="55">
        <f t="shared" si="185"/>
        <v>873.694513415242</v>
      </c>
      <c r="AV76" s="16">
        <f t="shared" si="186"/>
        <v>34491.041039075186</v>
      </c>
      <c r="AW76" s="56">
        <f t="shared" si="187"/>
        <v>0.23520000000000002</v>
      </c>
      <c r="AX76" s="62">
        <f t="shared" si="188"/>
        <v>10490.082151202741</v>
      </c>
      <c r="AY76" s="62">
        <f t="shared" si="189"/>
        <v>41960.328604810966</v>
      </c>
      <c r="AZ76" s="16"/>
      <c r="BA76" s="16">
        <f t="shared" si="190"/>
        <v>75377.042900416593</v>
      </c>
      <c r="BB76" s="55">
        <f t="shared" si="191"/>
        <v>19191.55052813331</v>
      </c>
      <c r="BC76" s="55">
        <f t="shared" si="192"/>
        <v>4807.1492655600005</v>
      </c>
      <c r="BD76" s="55">
        <f t="shared" si="193"/>
        <v>14384.401262573308</v>
      </c>
      <c r="BE76" s="55">
        <f t="shared" si="160"/>
        <v>57537.605050293234</v>
      </c>
      <c r="BF76" s="56"/>
      <c r="BG76" s="62">
        <f t="shared" si="194"/>
        <v>324739.99109999998</v>
      </c>
      <c r="BH76" s="62">
        <f t="shared" si="195"/>
        <v>44600.689418378999</v>
      </c>
      <c r="BI76" s="62">
        <f t="shared" si="46"/>
        <v>369340.68051837897</v>
      </c>
      <c r="BJ76" s="55">
        <f t="shared" si="196"/>
        <v>68175.899209922733</v>
      </c>
      <c r="BK76" s="55">
        <f t="shared" si="197"/>
        <v>57685.791186720002</v>
      </c>
      <c r="BL76" s="55">
        <f t="shared" si="198"/>
        <v>10490.108023202731</v>
      </c>
      <c r="BM76" s="55">
        <f t="shared" si="199"/>
        <v>41960.432092810923</v>
      </c>
      <c r="BN76" s="67"/>
    </row>
    <row r="77" spans="2:66" x14ac:dyDescent="0.2">
      <c r="B77" s="95" t="s">
        <v>135</v>
      </c>
      <c r="C77" s="64">
        <v>1</v>
      </c>
      <c r="D77" s="65">
        <v>14000</v>
      </c>
      <c r="E77" s="64"/>
      <c r="F77" s="65">
        <v>4620</v>
      </c>
      <c r="G77" s="65">
        <v>14000</v>
      </c>
      <c r="H77" s="65">
        <v>14000</v>
      </c>
      <c r="I77" s="65">
        <v>168000</v>
      </c>
      <c r="J77" s="65">
        <v>2413.832044460331</v>
      </c>
      <c r="K77" s="65">
        <v>445.11719007591324</v>
      </c>
      <c r="L77" s="65">
        <v>2858.9492345362441</v>
      </c>
      <c r="M77" s="65">
        <v>28589.492345362443</v>
      </c>
      <c r="N77" s="65">
        <v>6930</v>
      </c>
      <c r="O77" s="65">
        <v>6930</v>
      </c>
      <c r="P77" s="65">
        <v>5622.9991409694267</v>
      </c>
      <c r="Q77" s="65">
        <v>8994.2600370769069</v>
      </c>
      <c r="R77" s="65">
        <v>5040</v>
      </c>
      <c r="S77" s="65">
        <v>29400</v>
      </c>
      <c r="T77" s="65">
        <v>3360</v>
      </c>
      <c r="U77" s="65">
        <v>1285.7244159375</v>
      </c>
      <c r="V77" s="65">
        <v>15428.69299125</v>
      </c>
      <c r="W77" s="65">
        <v>1285.7244159375</v>
      </c>
      <c r="X77" s="65">
        <v>15428.69299125</v>
      </c>
      <c r="Y77" s="65">
        <v>0</v>
      </c>
      <c r="Z77" s="65">
        <v>7000</v>
      </c>
      <c r="AA77" s="3"/>
      <c r="AB77" s="42">
        <f t="shared" si="168"/>
        <v>466.66666666666669</v>
      </c>
      <c r="AC77" s="60">
        <f t="shared" si="169"/>
        <v>12.66148053125</v>
      </c>
      <c r="AD77" s="61">
        <f t="shared" si="170"/>
        <v>479.32814719791668</v>
      </c>
      <c r="AE77" s="61">
        <f t="shared" si="171"/>
        <v>551.5556762277397</v>
      </c>
      <c r="AF77" s="62">
        <f t="shared" si="172"/>
        <v>5620.9853999999996</v>
      </c>
      <c r="AG77" s="62">
        <f t="shared" si="173"/>
        <v>1305.2189900543749</v>
      </c>
      <c r="AH77" s="62">
        <f t="shared" si="174"/>
        <v>474.62508729249998</v>
      </c>
      <c r="AI77" s="62">
        <f t="shared" si="175"/>
        <v>1593.4305597300342</v>
      </c>
      <c r="AJ77" s="62">
        <f t="shared" si="176"/>
        <v>8519.6349497844076</v>
      </c>
      <c r="AK77" s="62">
        <f t="shared" si="177"/>
        <v>474.62508729249998</v>
      </c>
      <c r="AL77" s="62">
        <f t="shared" si="178"/>
        <v>8994.2600370769069</v>
      </c>
      <c r="AN77" s="27">
        <f t="shared" si="179"/>
        <v>2430.5417744884999</v>
      </c>
      <c r="AP77" s="66">
        <f t="shared" si="180"/>
        <v>26324.792345362443</v>
      </c>
      <c r="AQ77" s="55">
        <f t="shared" si="181"/>
        <v>2192.5306501342966</v>
      </c>
      <c r="AR77" s="16">
        <f t="shared" si="182"/>
        <v>18763.979482009297</v>
      </c>
      <c r="AS77" s="55">
        <f t="shared" si="183"/>
        <v>2898.8663213571858</v>
      </c>
      <c r="AT77" s="55">
        <f t="shared" si="184"/>
        <v>2430.5417744884999</v>
      </c>
      <c r="AU77" s="55">
        <f t="shared" si="185"/>
        <v>468.32454686868596</v>
      </c>
      <c r="AV77" s="16">
        <f t="shared" si="186"/>
        <v>20956.510132143594</v>
      </c>
      <c r="AW77" s="56">
        <f t="shared" si="187"/>
        <v>0.2136000000000001</v>
      </c>
      <c r="AX77" s="62">
        <f t="shared" si="188"/>
        <v>5622.9756449694205</v>
      </c>
      <c r="AY77" s="62">
        <f t="shared" si="189"/>
        <v>5622.9756449694205</v>
      </c>
      <c r="AZ77" s="16"/>
      <c r="BA77" s="16">
        <f t="shared" si="190"/>
        <v>45088.77182737174</v>
      </c>
      <c r="BB77" s="55">
        <f t="shared" si="191"/>
        <v>9847.5295482115216</v>
      </c>
      <c r="BC77" s="55">
        <f t="shared" si="192"/>
        <v>2430.5417744884999</v>
      </c>
      <c r="BD77" s="55">
        <f t="shared" si="193"/>
        <v>7416.9877737230217</v>
      </c>
      <c r="BE77" s="55">
        <f t="shared" si="160"/>
        <v>7416.9877737230217</v>
      </c>
      <c r="BF77" s="56"/>
      <c r="BG77" s="62">
        <f t="shared" si="194"/>
        <v>198857.38598250001</v>
      </c>
      <c r="BH77" s="62">
        <f t="shared" si="195"/>
        <v>26324.792345362443</v>
      </c>
      <c r="BI77" s="62">
        <f t="shared" si="46"/>
        <v>225182.17832786246</v>
      </c>
      <c r="BJ77" s="55">
        <f t="shared" si="196"/>
        <v>34789.500434831425</v>
      </c>
      <c r="BK77" s="55">
        <f t="shared" si="197"/>
        <v>29166.501293861998</v>
      </c>
      <c r="BL77" s="55">
        <f t="shared" si="198"/>
        <v>5622.9991409694267</v>
      </c>
      <c r="BM77" s="55">
        <f t="shared" si="199"/>
        <v>5622.9991409694267</v>
      </c>
      <c r="BN77" s="67"/>
    </row>
    <row r="78" spans="2:66" x14ac:dyDescent="0.2">
      <c r="B78" s="75" t="s">
        <v>91</v>
      </c>
      <c r="C78" s="76">
        <v>9</v>
      </c>
      <c r="D78" s="100">
        <v>218603</v>
      </c>
      <c r="E78" s="76"/>
      <c r="F78" s="100"/>
      <c r="G78" s="100">
        <v>218603</v>
      </c>
      <c r="H78" s="100">
        <v>294890</v>
      </c>
      <c r="I78" s="100">
        <v>3538680</v>
      </c>
      <c r="J78" s="100"/>
      <c r="K78" s="100"/>
      <c r="L78" s="100">
        <v>53578.73889344035</v>
      </c>
      <c r="M78" s="100">
        <v>535787.38893440354</v>
      </c>
      <c r="N78" s="100"/>
      <c r="O78" s="100">
        <v>145970.55000000002</v>
      </c>
      <c r="P78" s="100">
        <v>145744.91406094929</v>
      </c>
      <c r="Q78" s="100">
        <v>124275.18995582692</v>
      </c>
      <c r="R78" s="100">
        <v>106160.40000000002</v>
      </c>
      <c r="S78" s="100">
        <v>619269</v>
      </c>
      <c r="T78" s="100">
        <v>65161.8</v>
      </c>
      <c r="U78" s="100">
        <v>4710.1216284375005</v>
      </c>
      <c r="V78" s="100">
        <v>85909.446191250012</v>
      </c>
      <c r="W78" s="100">
        <v>4710.1216284375005</v>
      </c>
      <c r="X78" s="100">
        <v>85909.446191250012</v>
      </c>
      <c r="Y78" s="100">
        <v>0</v>
      </c>
      <c r="Z78" s="100">
        <v>107445</v>
      </c>
      <c r="AA78" s="42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N78" s="27"/>
      <c r="AP78" s="55"/>
      <c r="AQ78" s="55"/>
      <c r="AR78" s="16"/>
      <c r="AS78" s="16"/>
      <c r="AT78" s="55"/>
      <c r="AU78" s="55"/>
      <c r="AV78" s="55"/>
      <c r="AW78" s="93"/>
      <c r="AX78" s="62"/>
      <c r="AY78" s="62"/>
      <c r="AZ78" s="16"/>
      <c r="BA78" s="16"/>
      <c r="BB78" s="55"/>
      <c r="BC78" s="55"/>
      <c r="BD78" s="55"/>
      <c r="BE78" s="55">
        <f t="shared" si="160"/>
        <v>0</v>
      </c>
      <c r="BF78" s="56"/>
      <c r="BG78" s="62"/>
      <c r="BH78" s="62"/>
      <c r="BI78" s="62"/>
      <c r="BJ78" s="55"/>
      <c r="BK78" s="55"/>
      <c r="BL78" s="55"/>
      <c r="BM78" s="55"/>
      <c r="BN78" s="67"/>
    </row>
    <row r="79" spans="2:66" x14ac:dyDescent="0.2">
      <c r="B79" s="118" t="s">
        <v>155</v>
      </c>
      <c r="C79" s="119"/>
      <c r="D79" s="65"/>
      <c r="E79" s="119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3"/>
      <c r="AB79" s="42"/>
      <c r="AC79" s="60"/>
      <c r="AD79" s="61"/>
      <c r="AE79" s="61"/>
      <c r="AF79" s="62"/>
      <c r="AG79" s="62"/>
      <c r="AH79" s="62"/>
      <c r="AI79" s="62"/>
      <c r="AJ79" s="62"/>
      <c r="AK79" s="62"/>
      <c r="AL79" s="62"/>
      <c r="AN79" s="27"/>
      <c r="AP79" s="55"/>
      <c r="AQ79" s="55"/>
      <c r="AR79" s="16"/>
      <c r="AS79" s="16"/>
      <c r="AT79" s="55"/>
      <c r="AU79" s="55"/>
      <c r="AV79" s="55"/>
      <c r="AW79" s="93"/>
      <c r="AX79" s="62"/>
      <c r="AY79" s="62"/>
      <c r="AZ79" s="16"/>
      <c r="BA79" s="16"/>
      <c r="BB79" s="55"/>
      <c r="BC79" s="55"/>
      <c r="BD79" s="55"/>
      <c r="BE79" s="55">
        <f t="shared" si="160"/>
        <v>0</v>
      </c>
      <c r="BF79" s="56"/>
      <c r="BG79" s="62"/>
      <c r="BH79" s="62"/>
      <c r="BI79" s="62"/>
      <c r="BJ79" s="55"/>
      <c r="BK79" s="55"/>
      <c r="BL79" s="55"/>
      <c r="BM79" s="55"/>
      <c r="BN79" s="67"/>
    </row>
    <row r="80" spans="2:66" x14ac:dyDescent="0.2">
      <c r="B80" s="95" t="s">
        <v>156</v>
      </c>
      <c r="C80" s="64">
        <v>1</v>
      </c>
      <c r="D80" s="65">
        <v>72728</v>
      </c>
      <c r="E80" s="64"/>
      <c r="F80" s="65">
        <v>24000.240000000002</v>
      </c>
      <c r="G80" s="65">
        <v>72728</v>
      </c>
      <c r="H80" s="65">
        <v>72728</v>
      </c>
      <c r="I80" s="65">
        <v>872736</v>
      </c>
      <c r="J80" s="65">
        <v>10743.566769406392</v>
      </c>
      <c r="K80" s="65">
        <v>2053.3436940639267</v>
      </c>
      <c r="L80" s="65">
        <v>12796.910463470318</v>
      </c>
      <c r="M80" s="65">
        <v>127969.10463470318</v>
      </c>
      <c r="N80" s="65">
        <v>36000.36</v>
      </c>
      <c r="O80" s="65">
        <v>36000.36</v>
      </c>
      <c r="P80" s="65">
        <v>40441.212175799068</v>
      </c>
      <c r="Q80" s="65">
        <v>20165.973968749997</v>
      </c>
      <c r="R80" s="65">
        <v>26182.080000000002</v>
      </c>
      <c r="S80" s="65">
        <v>152728.79999999999</v>
      </c>
      <c r="T80" s="65">
        <v>13588.199999999999</v>
      </c>
      <c r="U80" s="65">
        <v>514.38750000000005</v>
      </c>
      <c r="V80" s="65">
        <v>6172.6500000000005</v>
      </c>
      <c r="W80" s="65">
        <v>514.38750000000005</v>
      </c>
      <c r="X80" s="65">
        <v>6172.6500000000005</v>
      </c>
      <c r="Y80" s="65">
        <v>0</v>
      </c>
      <c r="Z80" s="65">
        <v>0</v>
      </c>
      <c r="AA80" s="3"/>
      <c r="AB80" s="42">
        <f>+G80/30</f>
        <v>2424.2666666666669</v>
      </c>
      <c r="AC80" s="60">
        <f>IF(((U80/30)&lt;$AH$4),0,((U80/30)-$AH$4))</f>
        <v>0</v>
      </c>
      <c r="AD80" s="61">
        <f>+AB80+AC80</f>
        <v>2424.2666666666669</v>
      </c>
      <c r="AE80" s="61">
        <f>IF((AD80*$AH$3)&gt;$AI$6,$AI$6,(AD80*$AH$3))</f>
        <v>1887.2499999999998</v>
      </c>
      <c r="AF80" s="62">
        <f>+$AL$1*$AL$2*$AF$9</f>
        <v>5620.9853999999996</v>
      </c>
      <c r="AG80" s="62">
        <f>+IF(AE80&gt;($AH$6*3),(AE80-($AH$6*3))*$AG$8,0)*$AG$9</f>
        <v>6668.0316999999986</v>
      </c>
      <c r="AH80" s="62">
        <f>+IF(AE80&gt;($AH$6*3),(AE80-($AH$6*3))*$AH$8,0)*$AH$9</f>
        <v>2424.7387999999996</v>
      </c>
      <c r="AI80" s="62">
        <f>+(AE80*$AI$9)*$AI$8</f>
        <v>5452.2180687499995</v>
      </c>
      <c r="AJ80" s="62">
        <f t="shared" si="176"/>
        <v>17741.235168749998</v>
      </c>
      <c r="AK80" s="62">
        <f t="shared" si="177"/>
        <v>2424.7387999999996</v>
      </c>
      <c r="AL80" s="62">
        <f t="shared" si="178"/>
        <v>20165.973968749997</v>
      </c>
      <c r="AN80" s="27">
        <f>+AT80*C80</f>
        <v>18673.064799999996</v>
      </c>
      <c r="AP80" s="66">
        <f t="shared" ref="AP80:AP83" si="200">+((M80/C80)-($AL$2*30))</f>
        <v>125704.40463470318</v>
      </c>
      <c r="AQ80" s="55">
        <f t="shared" ref="AQ80:AQ83" si="201">+AP80/365*30.4</f>
        <v>10469.627125739662</v>
      </c>
      <c r="AR80" s="16">
        <f t="shared" ref="AR80:AR83" si="202">+G80+U80+W80+AQ80</f>
        <v>84226.402125739653</v>
      </c>
      <c r="AS80" s="55">
        <f t="shared" ref="AS80:AS83" si="203">((AR80-VLOOKUP(AR80,$BO$17:$BR$39,1))*VLOOKUP(AR80,$BO$17:$BR$39,4)+VLOOKUP(AR80,$BO$17:$BR$39,3))-VLOOKUP(AR80,$BT$17:$BV$39,3)</f>
        <v>22041.211122751483</v>
      </c>
      <c r="AT80" s="55">
        <f t="shared" ref="AT80:AT83" si="204">(((G80+U80+W80)-VLOOKUP((G80+U80+W80),$BO$17:$BR$39,1))*VLOOKUP((G80+U80+W80),$BO$17:$BR$39,4)+VLOOKUP((G80+U80+W80),$BO$17:$BR$39,3))-VLOOKUP((G80+U80+W80),$BT$17:$BV$39,3)</f>
        <v>18673.064799999996</v>
      </c>
      <c r="AU80" s="55">
        <f t="shared" ref="AU80:AU83" si="205">+AS80-AT80</f>
        <v>3368.1463227514869</v>
      </c>
      <c r="AV80" s="16">
        <f t="shared" ref="AV80:AV83" si="206">+AR80+AQ80</f>
        <v>94696.029251479311</v>
      </c>
      <c r="AW80" s="56">
        <f t="shared" ref="AW80:AW83" si="207">+(AU80/AQ80)</f>
        <v>0.3217064258640952</v>
      </c>
      <c r="AX80" s="62">
        <f t="shared" ref="AX80:AX83" si="208">+AP80*AW80</f>
        <v>40439.914730404365</v>
      </c>
      <c r="AY80" s="62">
        <f t="shared" ref="AY80:AY83" si="209">+AX80*C80</f>
        <v>40439.914730404365</v>
      </c>
      <c r="AZ80" s="16"/>
      <c r="BA80" s="16">
        <f>+AP80+AR80</f>
        <v>209930.80676044285</v>
      </c>
      <c r="BB80" s="55">
        <f>((BA80-VLOOKUP(BA80,$BO$17:$BR$39,1))*VLOOKUP(BA80,$BO$17:$BR$39,4)+VLOOKUP(BA80,$BO$17:$BR$39,3))-VLOOKUP(BA80,$BT$17:$BV$39,3)</f>
        <v>64780.708698550574</v>
      </c>
      <c r="BC80" s="55">
        <f>+AT80</f>
        <v>18673.064799999996</v>
      </c>
      <c r="BD80" s="55">
        <f t="shared" si="193"/>
        <v>46107.643898550581</v>
      </c>
      <c r="BE80" s="55">
        <f t="shared" si="160"/>
        <v>46107.643898550581</v>
      </c>
      <c r="BF80" s="56"/>
      <c r="BG80" s="62">
        <f t="shared" ref="BG80:BG83" si="210">+(G80+U80+W80)*12</f>
        <v>885081.29999999993</v>
      </c>
      <c r="BH80" s="62">
        <f>+AP80</f>
        <v>125704.40463470318</v>
      </c>
      <c r="BI80" s="62">
        <f t="shared" si="46"/>
        <v>1010785.7046347031</v>
      </c>
      <c r="BJ80" s="55">
        <f>((BI80-VLOOKUP(BI80,$BO$45:$BR$61,1))*VLOOKUP(BI80,$BO$45:$BR$61,4)+VLOOKUP(BI80,$BO$45:$BR$61,3))</f>
        <v>264517.98977579904</v>
      </c>
      <c r="BK80" s="55">
        <f>+AT80*12</f>
        <v>224076.77759999997</v>
      </c>
      <c r="BL80" s="55">
        <f t="shared" ref="BL80:BL83" si="211">+BJ80-BK80</f>
        <v>40441.212175799068</v>
      </c>
      <c r="BM80" s="55">
        <f t="shared" ref="BM80:BM83" si="212">+BL80*C80</f>
        <v>40441.212175799068</v>
      </c>
      <c r="BN80" s="67"/>
    </row>
    <row r="81" spans="2:66" x14ac:dyDescent="0.2">
      <c r="B81" s="95" t="s">
        <v>157</v>
      </c>
      <c r="C81" s="64">
        <v>1</v>
      </c>
      <c r="D81" s="65">
        <v>33058</v>
      </c>
      <c r="E81" s="64"/>
      <c r="F81" s="65">
        <v>10909.140000000001</v>
      </c>
      <c r="G81" s="65">
        <v>33058</v>
      </c>
      <c r="H81" s="65">
        <v>33058</v>
      </c>
      <c r="I81" s="65">
        <v>396696</v>
      </c>
      <c r="J81" s="65">
        <v>5022.0955847031955</v>
      </c>
      <c r="K81" s="65">
        <v>953.33108538812769</v>
      </c>
      <c r="L81" s="65">
        <v>5975.4266700913231</v>
      </c>
      <c r="M81" s="65">
        <v>59754.266700913227</v>
      </c>
      <c r="N81" s="65">
        <v>16363.710000000003</v>
      </c>
      <c r="O81" s="65">
        <v>16363.710000000003</v>
      </c>
      <c r="P81" s="65">
        <v>17246.903010273963</v>
      </c>
      <c r="Q81" s="65">
        <v>14986.399130000002</v>
      </c>
      <c r="R81" s="65">
        <v>11900.880000000001</v>
      </c>
      <c r="S81" s="65">
        <v>69421.799999999988</v>
      </c>
      <c r="T81" s="65">
        <v>7933.92</v>
      </c>
      <c r="U81" s="65">
        <v>709.85474999999997</v>
      </c>
      <c r="V81" s="65">
        <v>8518.2569999999996</v>
      </c>
      <c r="W81" s="65">
        <v>709.85474999999997</v>
      </c>
      <c r="X81" s="65">
        <v>8518.2569999999996</v>
      </c>
      <c r="Y81" s="65">
        <v>0</v>
      </c>
      <c r="Z81" s="65">
        <v>16529</v>
      </c>
      <c r="AA81" s="3"/>
      <c r="AB81" s="42">
        <f>+G81/30</f>
        <v>1101.9333333333334</v>
      </c>
      <c r="AC81" s="60">
        <f>IF(((U81/30)&lt;$AH$4),0,((U81/30)-$AH$4))</f>
        <v>0</v>
      </c>
      <c r="AD81" s="61">
        <f>+AB81+AC81</f>
        <v>1101.9333333333334</v>
      </c>
      <c r="AE81" s="61">
        <f>IF((AD81*$AH$3)&gt;$AI$6,$AI$6,(AD81*$AH$3))</f>
        <v>1267.9780821917809</v>
      </c>
      <c r="AF81" s="62">
        <f>+$AL$1*$AL$2*$AF$9</f>
        <v>5620.9853999999996</v>
      </c>
      <c r="AG81" s="62">
        <f>+IF(AE81&gt;($AH$6*3),(AE81-($AH$6*3))*$AG$8,0)*$AG$9</f>
        <v>4181.6549500000001</v>
      </c>
      <c r="AH81" s="62">
        <f>+IF(AE81&gt;($AH$6*3),(AE81-($AH$6*3))*$AH$8,0)*$AH$9</f>
        <v>1520.6017999999999</v>
      </c>
      <c r="AI81" s="62">
        <f>+(AE81*$AI$9)*$AI$8</f>
        <v>3663.1569800000007</v>
      </c>
      <c r="AJ81" s="62">
        <f t="shared" si="176"/>
        <v>13465.797330000001</v>
      </c>
      <c r="AK81" s="62">
        <f t="shared" si="177"/>
        <v>1520.6017999999999</v>
      </c>
      <c r="AL81" s="62">
        <f t="shared" si="178"/>
        <v>14986.399130000002</v>
      </c>
      <c r="AN81" s="27">
        <f>+AT81*C81</f>
        <v>6664.2108499999986</v>
      </c>
      <c r="AP81" s="66">
        <f t="shared" si="200"/>
        <v>57489.56670091323</v>
      </c>
      <c r="AQ81" s="55">
        <f t="shared" si="201"/>
        <v>4788.1721307061971</v>
      </c>
      <c r="AR81" s="16">
        <f t="shared" si="202"/>
        <v>39265.881630706193</v>
      </c>
      <c r="AS81" s="55">
        <f t="shared" si="203"/>
        <v>8100.662489211858</v>
      </c>
      <c r="AT81" s="55">
        <f t="shared" si="204"/>
        <v>6664.2108499999986</v>
      </c>
      <c r="AU81" s="55">
        <f t="shared" si="205"/>
        <v>1436.4516392118594</v>
      </c>
      <c r="AV81" s="16">
        <f t="shared" si="206"/>
        <v>44054.05376141239</v>
      </c>
      <c r="AW81" s="56">
        <f t="shared" si="207"/>
        <v>0.30000000000000004</v>
      </c>
      <c r="AX81" s="62">
        <f t="shared" si="208"/>
        <v>17246.870010273971</v>
      </c>
      <c r="AY81" s="62">
        <f t="shared" si="209"/>
        <v>17246.870010273971</v>
      </c>
      <c r="AZ81" s="16"/>
      <c r="BA81" s="16">
        <f>+AP81+AR81</f>
        <v>96755.448331619424</v>
      </c>
      <c r="BB81" s="55">
        <f>((BA81-VLOOKUP(BA81,$BO$17:$BR$39,1))*VLOOKUP(BA81,$BO$17:$BR$39,4)+VLOOKUP(BA81,$BO$17:$BR$39,3))-VLOOKUP(BA81,$BT$17:$BV$39,3)</f>
        <v>26301.086832750603</v>
      </c>
      <c r="BC81" s="55">
        <f>+AT81</f>
        <v>6664.2108499999986</v>
      </c>
      <c r="BD81" s="55">
        <f t="shared" si="193"/>
        <v>19636.875982750604</v>
      </c>
      <c r="BE81" s="55">
        <f t="shared" si="160"/>
        <v>19636.875982750604</v>
      </c>
      <c r="BF81" s="56"/>
      <c r="BG81" s="62">
        <f t="shared" si="210"/>
        <v>413732.51399999997</v>
      </c>
      <c r="BH81" s="62">
        <f>+AP81</f>
        <v>57489.56670091323</v>
      </c>
      <c r="BI81" s="62">
        <f t="shared" si="46"/>
        <v>471222.08070091321</v>
      </c>
      <c r="BJ81" s="55">
        <f>((BI81-VLOOKUP(BI81,$BO$45:$BR$61,1))*VLOOKUP(BI81,$BO$45:$BR$61,4)+VLOOKUP(BI81,$BO$45:$BR$61,3))</f>
        <v>97217.433210273943</v>
      </c>
      <c r="BK81" s="55">
        <f>+AT81*12</f>
        <v>79970.530199999979</v>
      </c>
      <c r="BL81" s="55">
        <f t="shared" si="211"/>
        <v>17246.903010273963</v>
      </c>
      <c r="BM81" s="55">
        <f t="shared" si="212"/>
        <v>17246.903010273963</v>
      </c>
      <c r="BN81" s="67"/>
    </row>
    <row r="82" spans="2:66" x14ac:dyDescent="0.2">
      <c r="B82" s="95" t="s">
        <v>134</v>
      </c>
      <c r="C82" s="64">
        <v>1</v>
      </c>
      <c r="D82" s="65">
        <v>25429</v>
      </c>
      <c r="E82" s="64"/>
      <c r="F82" s="65">
        <v>8391.57</v>
      </c>
      <c r="G82" s="65">
        <v>25429</v>
      </c>
      <c r="H82" s="65">
        <v>25429</v>
      </c>
      <c r="I82" s="65">
        <v>305148</v>
      </c>
      <c r="J82" s="65">
        <v>3941.8591004908681</v>
      </c>
      <c r="K82" s="65">
        <v>744.67984134703181</v>
      </c>
      <c r="L82" s="65">
        <v>4686.5389418379</v>
      </c>
      <c r="M82" s="65">
        <v>46865.389418378996</v>
      </c>
      <c r="N82" s="65">
        <v>12587.355</v>
      </c>
      <c r="O82" s="65">
        <v>12587.355</v>
      </c>
      <c r="P82" s="65">
        <v>10490.108023202731</v>
      </c>
      <c r="Q82" s="65">
        <v>12538.939639999999</v>
      </c>
      <c r="R82" s="65">
        <v>9154.44</v>
      </c>
      <c r="S82" s="65">
        <v>53400.899999999994</v>
      </c>
      <c r="T82" s="65">
        <v>6102.96</v>
      </c>
      <c r="U82" s="65">
        <v>816.33296249999989</v>
      </c>
      <c r="V82" s="65">
        <v>9795.9955499999996</v>
      </c>
      <c r="W82" s="65">
        <v>816.33296249999989</v>
      </c>
      <c r="X82" s="65">
        <v>9795.9955499999996</v>
      </c>
      <c r="Y82" s="65">
        <v>0</v>
      </c>
      <c r="Z82" s="65">
        <v>12714.5</v>
      </c>
      <c r="AA82" s="42"/>
      <c r="AB82" s="42">
        <f>+G82/30</f>
        <v>847.63333333333333</v>
      </c>
      <c r="AC82" s="60">
        <f>IF(((U82/30)&lt;$AH$4),0,((U82/30)-$AH$4))</f>
        <v>0</v>
      </c>
      <c r="AD82" s="61">
        <f>+AB82+AC82</f>
        <v>847.63333333333333</v>
      </c>
      <c r="AE82" s="61">
        <f>IF((AD82*$AH$3)&gt;$AI$6,$AI$6,(AD82*$AH$3))</f>
        <v>975.35890410958893</v>
      </c>
      <c r="AF82" s="62">
        <f>+$AL$1*$AL$2*$AF$9</f>
        <v>5620.9853999999996</v>
      </c>
      <c r="AG82" s="62">
        <f>+IF(AE82&gt;($AH$6*3),(AE82-($AH$6*3))*$AG$8,0)*$AG$9</f>
        <v>3006.7889500000001</v>
      </c>
      <c r="AH82" s="62">
        <f>+IF(AE82&gt;($AH$6*3),(AE82-($AH$6*3))*$AH$8,0)*$AH$9</f>
        <v>1093.3778</v>
      </c>
      <c r="AI82" s="62">
        <f>+(AE82*$AI$9)*$AI$8</f>
        <v>2817.7874899999997</v>
      </c>
      <c r="AJ82" s="62">
        <f t="shared" si="176"/>
        <v>11445.561839999998</v>
      </c>
      <c r="AK82" s="62">
        <f t="shared" si="177"/>
        <v>1093.3778</v>
      </c>
      <c r="AL82" s="62">
        <f t="shared" si="178"/>
        <v>12538.939639999999</v>
      </c>
      <c r="AN82" s="27">
        <f>+AT82*C82</f>
        <v>4807.1492655600005</v>
      </c>
      <c r="AP82" s="66">
        <f t="shared" si="200"/>
        <v>44600.689418378999</v>
      </c>
      <c r="AQ82" s="55">
        <f t="shared" si="201"/>
        <v>3714.6875570375933</v>
      </c>
      <c r="AR82" s="16">
        <f t="shared" si="202"/>
        <v>30776.353482037593</v>
      </c>
      <c r="AS82" s="55">
        <f t="shared" si="203"/>
        <v>5680.8437789752425</v>
      </c>
      <c r="AT82" s="55">
        <f t="shared" si="204"/>
        <v>4807.1492655600005</v>
      </c>
      <c r="AU82" s="55">
        <f t="shared" si="205"/>
        <v>873.694513415242</v>
      </c>
      <c r="AV82" s="16">
        <f t="shared" si="206"/>
        <v>34491.041039075186</v>
      </c>
      <c r="AW82" s="56">
        <f t="shared" si="207"/>
        <v>0.23520000000000002</v>
      </c>
      <c r="AX82" s="62">
        <f t="shared" si="208"/>
        <v>10490.082151202741</v>
      </c>
      <c r="AY82" s="62">
        <f t="shared" si="209"/>
        <v>10490.082151202741</v>
      </c>
      <c r="AZ82" s="16"/>
      <c r="BA82" s="16">
        <f>+AP82+AR82</f>
        <v>75377.042900416593</v>
      </c>
      <c r="BB82" s="55">
        <f>((BA82-VLOOKUP(BA82,$BO$17:$BR$39,1))*VLOOKUP(BA82,$BO$17:$BR$39,4)+VLOOKUP(BA82,$BO$17:$BR$39,3))-VLOOKUP(BA82,$BT$17:$BV$39,3)</f>
        <v>19191.55052813331</v>
      </c>
      <c r="BC82" s="55">
        <f>+AT82</f>
        <v>4807.1492655600005</v>
      </c>
      <c r="BD82" s="55">
        <f t="shared" si="193"/>
        <v>14384.401262573308</v>
      </c>
      <c r="BE82" s="55">
        <f t="shared" si="160"/>
        <v>14384.401262573308</v>
      </c>
      <c r="BF82" s="56"/>
      <c r="BG82" s="62">
        <f t="shared" si="210"/>
        <v>324739.99109999998</v>
      </c>
      <c r="BH82" s="62">
        <f>+AP82</f>
        <v>44600.689418378999</v>
      </c>
      <c r="BI82" s="62">
        <f t="shared" ref="BI82:BI130" si="213">+BG82+BH82</f>
        <v>369340.68051837897</v>
      </c>
      <c r="BJ82" s="55">
        <f t="shared" ref="BJ82:BJ130" si="214">((BI82-VLOOKUP(BI82,$BO$45:$BR$61,1))*VLOOKUP(BI82,$BO$45:$BR$61,4)+VLOOKUP(BI82,$BO$45:$BR$61,3))</f>
        <v>68175.899209922733</v>
      </c>
      <c r="BK82" s="55">
        <f>+AT82*12</f>
        <v>57685.791186720002</v>
      </c>
      <c r="BL82" s="55">
        <f t="shared" si="211"/>
        <v>10490.108023202731</v>
      </c>
      <c r="BM82" s="55">
        <f t="shared" si="212"/>
        <v>10490.108023202731</v>
      </c>
      <c r="BN82" s="67"/>
    </row>
    <row r="83" spans="2:66" x14ac:dyDescent="0.2">
      <c r="B83" s="95" t="s">
        <v>135</v>
      </c>
      <c r="C83" s="64">
        <v>1</v>
      </c>
      <c r="D83" s="65">
        <v>14000</v>
      </c>
      <c r="E83" s="64"/>
      <c r="F83" s="65">
        <v>4620</v>
      </c>
      <c r="G83" s="65">
        <v>14000</v>
      </c>
      <c r="H83" s="65">
        <v>14000</v>
      </c>
      <c r="I83" s="65">
        <v>168000</v>
      </c>
      <c r="J83" s="65">
        <v>2413.832044460331</v>
      </c>
      <c r="K83" s="65">
        <v>445.11719007591324</v>
      </c>
      <c r="L83" s="65">
        <v>2858.9492345362441</v>
      </c>
      <c r="M83" s="65">
        <v>28589.492345362443</v>
      </c>
      <c r="N83" s="65">
        <v>6930</v>
      </c>
      <c r="O83" s="65">
        <v>6930</v>
      </c>
      <c r="P83" s="65">
        <v>5622.9991409694267</v>
      </c>
      <c r="Q83" s="65">
        <v>8994.2600370769069</v>
      </c>
      <c r="R83" s="65">
        <v>5040</v>
      </c>
      <c r="S83" s="65">
        <v>29400</v>
      </c>
      <c r="T83" s="65">
        <v>3360</v>
      </c>
      <c r="U83" s="65">
        <v>1285.7244159375</v>
      </c>
      <c r="V83" s="65">
        <v>15428.69299125</v>
      </c>
      <c r="W83" s="65">
        <v>1285.7244159375</v>
      </c>
      <c r="X83" s="65">
        <v>15428.69299125</v>
      </c>
      <c r="Y83" s="65">
        <v>0</v>
      </c>
      <c r="Z83" s="65">
        <v>7000</v>
      </c>
      <c r="AA83" s="3"/>
      <c r="AB83" s="42">
        <f>+G83/30</f>
        <v>466.66666666666669</v>
      </c>
      <c r="AC83" s="60">
        <f>IF(((U83/30)&lt;$AH$4),0,((U83/30)-$AH$4))</f>
        <v>12.66148053125</v>
      </c>
      <c r="AD83" s="61">
        <f>+AB83+AC83</f>
        <v>479.32814719791668</v>
      </c>
      <c r="AE83" s="61">
        <f>IF((AD83*$AH$3)&gt;$AI$6,$AI$6,(AD83*$AH$3))</f>
        <v>551.5556762277397</v>
      </c>
      <c r="AF83" s="62">
        <f>+$AL$1*$AL$2*$AF$9</f>
        <v>5620.9853999999996</v>
      </c>
      <c r="AG83" s="62">
        <f>+IF(AE83&gt;($AH$6*3),(AE83-($AH$6*3))*$AG$8,0)*$AG$9</f>
        <v>1305.2189900543749</v>
      </c>
      <c r="AH83" s="62">
        <f>+IF(AE83&gt;($AH$6*3),(AE83-($AH$6*3))*$AH$8,0)*$AH$9</f>
        <v>474.62508729249998</v>
      </c>
      <c r="AI83" s="62">
        <f>+(AE83*$AI$9)*$AI$8</f>
        <v>1593.4305597300342</v>
      </c>
      <c r="AJ83" s="62">
        <f t="shared" si="176"/>
        <v>8519.6349497844076</v>
      </c>
      <c r="AK83" s="62">
        <f t="shared" si="177"/>
        <v>474.62508729249998</v>
      </c>
      <c r="AL83" s="62">
        <f t="shared" si="178"/>
        <v>8994.2600370769069</v>
      </c>
      <c r="AN83" s="27">
        <f>+AT83*C83</f>
        <v>2430.5417744884999</v>
      </c>
      <c r="AP83" s="66">
        <f t="shared" si="200"/>
        <v>26324.792345362443</v>
      </c>
      <c r="AQ83" s="55">
        <f t="shared" si="201"/>
        <v>2192.5306501342966</v>
      </c>
      <c r="AR83" s="16">
        <f t="shared" si="202"/>
        <v>18763.979482009297</v>
      </c>
      <c r="AS83" s="55">
        <f t="shared" si="203"/>
        <v>2898.8663213571858</v>
      </c>
      <c r="AT83" s="55">
        <f t="shared" si="204"/>
        <v>2430.5417744884999</v>
      </c>
      <c r="AU83" s="55">
        <f t="shared" si="205"/>
        <v>468.32454686868596</v>
      </c>
      <c r="AV83" s="16">
        <f t="shared" si="206"/>
        <v>20956.510132143594</v>
      </c>
      <c r="AW83" s="56">
        <f t="shared" si="207"/>
        <v>0.2136000000000001</v>
      </c>
      <c r="AX83" s="62">
        <f t="shared" si="208"/>
        <v>5622.9756449694205</v>
      </c>
      <c r="AY83" s="62">
        <f t="shared" si="209"/>
        <v>5622.9756449694205</v>
      </c>
      <c r="AZ83" s="16"/>
      <c r="BA83" s="16">
        <f>+AP83+AR83</f>
        <v>45088.77182737174</v>
      </c>
      <c r="BB83" s="55">
        <f>((BA83-VLOOKUP(BA83,$BO$17:$BR$39,1))*VLOOKUP(BA83,$BO$17:$BR$39,4)+VLOOKUP(BA83,$BO$17:$BR$39,3))-VLOOKUP(BA83,$BT$17:$BV$39,3)</f>
        <v>9847.5295482115216</v>
      </c>
      <c r="BC83" s="55">
        <f>+AT83</f>
        <v>2430.5417744884999</v>
      </c>
      <c r="BD83" s="55">
        <f t="shared" si="193"/>
        <v>7416.9877737230217</v>
      </c>
      <c r="BE83" s="55">
        <f t="shared" si="160"/>
        <v>7416.9877737230217</v>
      </c>
      <c r="BF83" s="56"/>
      <c r="BG83" s="62">
        <f t="shared" si="210"/>
        <v>198857.38598250001</v>
      </c>
      <c r="BH83" s="62">
        <f>+AP83</f>
        <v>26324.792345362443</v>
      </c>
      <c r="BI83" s="62">
        <f t="shared" si="213"/>
        <v>225182.17832786246</v>
      </c>
      <c r="BJ83" s="55">
        <f t="shared" si="214"/>
        <v>34789.500434831425</v>
      </c>
      <c r="BK83" s="55">
        <f>+AT83*12</f>
        <v>29166.501293861998</v>
      </c>
      <c r="BL83" s="55">
        <f t="shared" si="211"/>
        <v>5622.9991409694267</v>
      </c>
      <c r="BM83" s="55">
        <f t="shared" si="212"/>
        <v>5622.9991409694267</v>
      </c>
      <c r="BN83" s="67"/>
    </row>
    <row r="84" spans="2:66" x14ac:dyDescent="0.2">
      <c r="B84" s="75" t="s">
        <v>91</v>
      </c>
      <c r="C84" s="76">
        <v>4</v>
      </c>
      <c r="D84" s="100">
        <v>145215</v>
      </c>
      <c r="E84" s="76"/>
      <c r="F84" s="100"/>
      <c r="G84" s="100">
        <v>145215</v>
      </c>
      <c r="H84" s="100">
        <v>145215</v>
      </c>
      <c r="I84" s="100">
        <v>1742580</v>
      </c>
      <c r="J84" s="100"/>
      <c r="K84" s="100"/>
      <c r="L84" s="100">
        <v>26317.825309935783</v>
      </c>
      <c r="M84" s="100">
        <v>263178.25309935783</v>
      </c>
      <c r="N84" s="100"/>
      <c r="O84" s="100">
        <v>71881.425000000003</v>
      </c>
      <c r="P84" s="100">
        <v>73801.222350245196</v>
      </c>
      <c r="Q84" s="100">
        <v>56685.572775826906</v>
      </c>
      <c r="R84" s="100">
        <v>52277.400000000009</v>
      </c>
      <c r="S84" s="100">
        <v>304951.5</v>
      </c>
      <c r="T84" s="100">
        <v>30985.079999999998</v>
      </c>
      <c r="U84" s="100">
        <v>3326.2996284374999</v>
      </c>
      <c r="V84" s="100">
        <v>39915.595541249997</v>
      </c>
      <c r="W84" s="100">
        <v>3326.2996284374999</v>
      </c>
      <c r="X84" s="100">
        <v>39915.595541249997</v>
      </c>
      <c r="Y84" s="100">
        <v>0</v>
      </c>
      <c r="Z84" s="100">
        <v>36243.5</v>
      </c>
      <c r="AA84" s="42"/>
      <c r="AB84" s="42"/>
      <c r="AC84" s="60"/>
      <c r="AD84" s="61"/>
      <c r="AE84" s="61"/>
      <c r="AF84" s="62"/>
      <c r="AG84" s="62"/>
      <c r="AH84" s="62"/>
      <c r="AI84" s="62"/>
      <c r="AJ84" s="62"/>
      <c r="AK84" s="62"/>
      <c r="AL84" s="62"/>
      <c r="AN84" s="27"/>
      <c r="AP84" s="55"/>
      <c r="AQ84" s="55"/>
      <c r="AR84" s="16"/>
      <c r="AS84" s="16"/>
      <c r="AT84" s="55"/>
      <c r="AU84" s="55"/>
      <c r="AV84" s="55"/>
      <c r="AW84" s="93"/>
      <c r="AX84" s="62"/>
      <c r="AY84" s="62"/>
      <c r="AZ84" s="16"/>
      <c r="BA84" s="16"/>
      <c r="BB84" s="55"/>
      <c r="BC84" s="55"/>
      <c r="BD84" s="55"/>
      <c r="BE84" s="55">
        <f t="shared" si="160"/>
        <v>0</v>
      </c>
      <c r="BF84" s="56"/>
      <c r="BG84" s="62"/>
      <c r="BH84" s="62"/>
      <c r="BI84" s="62"/>
      <c r="BJ84" s="55"/>
      <c r="BK84" s="55"/>
      <c r="BL84" s="55"/>
      <c r="BM84" s="55"/>
      <c r="BN84" s="67"/>
    </row>
    <row r="85" spans="2:66" x14ac:dyDescent="0.2">
      <c r="B85" s="101" t="s">
        <v>158</v>
      </c>
      <c r="C85" s="120"/>
      <c r="D85" s="121"/>
      <c r="E85" s="120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42"/>
      <c r="AB85" s="42"/>
      <c r="AC85" s="60"/>
      <c r="AD85" s="61"/>
      <c r="AE85" s="61"/>
      <c r="AF85" s="62"/>
      <c r="AG85" s="62"/>
      <c r="AH85" s="62"/>
      <c r="AI85" s="62"/>
      <c r="AJ85" s="62"/>
      <c r="AK85" s="62"/>
      <c r="AL85" s="62"/>
      <c r="AN85" s="27"/>
      <c r="AP85" s="55"/>
      <c r="AQ85" s="55"/>
      <c r="AR85" s="16"/>
      <c r="AS85" s="16"/>
      <c r="AT85" s="55"/>
      <c r="AU85" s="55"/>
      <c r="AV85" s="55"/>
      <c r="AW85" s="93"/>
      <c r="AX85" s="62"/>
      <c r="AY85" s="62"/>
      <c r="AZ85" s="16"/>
      <c r="BA85" s="16"/>
      <c r="BB85" s="55"/>
      <c r="BC85" s="55"/>
      <c r="BD85" s="55"/>
      <c r="BE85" s="55"/>
      <c r="BF85" s="56"/>
      <c r="BG85" s="62"/>
      <c r="BH85" s="62"/>
      <c r="BI85" s="62"/>
      <c r="BJ85" s="55"/>
      <c r="BK85" s="55"/>
      <c r="BL85" s="55"/>
      <c r="BM85" s="55"/>
      <c r="BN85" s="67"/>
    </row>
    <row r="86" spans="2:66" x14ac:dyDescent="0.2">
      <c r="B86" s="95" t="s">
        <v>159</v>
      </c>
      <c r="C86" s="64">
        <v>1</v>
      </c>
      <c r="D86" s="65">
        <v>72728</v>
      </c>
      <c r="E86" s="64"/>
      <c r="F86" s="65">
        <v>24000.240000000002</v>
      </c>
      <c r="G86" s="65">
        <v>72728</v>
      </c>
      <c r="H86" s="65">
        <v>72728</v>
      </c>
      <c r="I86" s="65">
        <v>872736</v>
      </c>
      <c r="J86" s="65">
        <v>10743.566769406392</v>
      </c>
      <c r="K86" s="65">
        <v>2053.3436940639267</v>
      </c>
      <c r="L86" s="65">
        <v>12796.910463470318</v>
      </c>
      <c r="M86" s="65">
        <v>127969.10463470318</v>
      </c>
      <c r="N86" s="65">
        <v>36000.36</v>
      </c>
      <c r="O86" s="65">
        <v>36000.36</v>
      </c>
      <c r="P86" s="65">
        <v>40441.212175799068</v>
      </c>
      <c r="Q86" s="65">
        <v>20165.973968749997</v>
      </c>
      <c r="R86" s="65">
        <v>26182.080000000002</v>
      </c>
      <c r="S86" s="65">
        <v>152728.79999999999</v>
      </c>
      <c r="T86" s="65">
        <v>13588.199999999999</v>
      </c>
      <c r="U86" s="65">
        <v>514.38750000000005</v>
      </c>
      <c r="V86" s="65">
        <v>6172.6500000000005</v>
      </c>
      <c r="W86" s="65">
        <v>514.38750000000005</v>
      </c>
      <c r="X86" s="65">
        <v>6172.6500000000005</v>
      </c>
      <c r="Y86" s="65">
        <v>0</v>
      </c>
      <c r="Z86" s="65">
        <v>0</v>
      </c>
      <c r="AA86" s="3"/>
      <c r="AB86" s="42">
        <f>+G86/30</f>
        <v>2424.2666666666669</v>
      </c>
      <c r="AC86" s="60">
        <f>IF(((U86/30)&lt;$AH$4),0,((U86/30)-$AH$4))</f>
        <v>0</v>
      </c>
      <c r="AD86" s="61">
        <f>+AB86+AC86</f>
        <v>2424.2666666666669</v>
      </c>
      <c r="AE86" s="61">
        <f>IF((AD86*$AH$3)&gt;$AI$6,$AI$6,(AD86*$AH$3))</f>
        <v>1887.2499999999998</v>
      </c>
      <c r="AF86" s="62">
        <f>+$AL$1*$AL$2*$AF$9</f>
        <v>5620.9853999999996</v>
      </c>
      <c r="AG86" s="62">
        <f>+IF(AE86&gt;($AH$6*3),(AE86-($AH$6*3))*$AG$8,0)*$AG$9</f>
        <v>6668.0316999999986</v>
      </c>
      <c r="AH86" s="62">
        <f>+IF(AE86&gt;($AH$6*3),(AE86-($AH$6*3))*$AH$8,0)*$AH$9</f>
        <v>2424.7387999999996</v>
      </c>
      <c r="AI86" s="62">
        <f>+(AE86*$AI$9)*$AI$8</f>
        <v>5452.2180687499995</v>
      </c>
      <c r="AJ86" s="62">
        <f>+AF86+AG86+AI86</f>
        <v>17741.235168749998</v>
      </c>
      <c r="AK86" s="62">
        <f>+AH86</f>
        <v>2424.7387999999996</v>
      </c>
      <c r="AL86" s="62">
        <f>+AJ86+AK86</f>
        <v>20165.973968749997</v>
      </c>
      <c r="AN86" s="27">
        <f>+AT86*C86</f>
        <v>18673.064799999996</v>
      </c>
      <c r="AP86" s="66">
        <f t="shared" ref="AP86:AP89" si="215">+((M86/C86)-($AL$2*30))</f>
        <v>125704.40463470318</v>
      </c>
      <c r="AQ86" s="55">
        <f t="shared" ref="AQ86:AQ89" si="216">+AP86/365*30.4</f>
        <v>10469.627125739662</v>
      </c>
      <c r="AR86" s="16">
        <f t="shared" ref="AR86:AR89" si="217">+G86+U86+W86+AQ86</f>
        <v>84226.402125739653</v>
      </c>
      <c r="AS86" s="55">
        <f t="shared" ref="AS86:AS89" si="218">((AR86-VLOOKUP(AR86,$BO$17:$BR$39,1))*VLOOKUP(AR86,$BO$17:$BR$39,4)+VLOOKUP(AR86,$BO$17:$BR$39,3))-VLOOKUP(AR86,$BT$17:$BV$39,3)</f>
        <v>22041.211122751483</v>
      </c>
      <c r="AT86" s="55">
        <f t="shared" ref="AT86:AT89" si="219">(((G86+U86+W86)-VLOOKUP((G86+U86+W86),$BO$17:$BR$39,1))*VLOOKUP((G86+U86+W86),$BO$17:$BR$39,4)+VLOOKUP((G86+U86+W86),$BO$17:$BR$39,3))-VLOOKUP((G86+U86+W86),$BT$17:$BV$39,3)</f>
        <v>18673.064799999996</v>
      </c>
      <c r="AU86" s="55">
        <f t="shared" ref="AU86:AU89" si="220">+AS86-AT86</f>
        <v>3368.1463227514869</v>
      </c>
      <c r="AV86" s="16">
        <f t="shared" ref="AV86:AV89" si="221">+AR86+AQ86</f>
        <v>94696.029251479311</v>
      </c>
      <c r="AW86" s="56">
        <f t="shared" ref="AW86:AW89" si="222">+(AU86/AQ86)</f>
        <v>0.3217064258640952</v>
      </c>
      <c r="AX86" s="62">
        <f t="shared" ref="AX86:AX89" si="223">+AP86*AW86</f>
        <v>40439.914730404365</v>
      </c>
      <c r="AY86" s="62">
        <f t="shared" ref="AY86:AY89" si="224">+AX86*C86</f>
        <v>40439.914730404365</v>
      </c>
      <c r="AZ86" s="16"/>
      <c r="BA86" s="16">
        <f>+AP86+AR86</f>
        <v>209930.80676044285</v>
      </c>
      <c r="BB86" s="55">
        <f>((BA86-VLOOKUP(BA86,$BO$17:$BR$39,1))*VLOOKUP(BA86,$BO$17:$BR$39,4)+VLOOKUP(BA86,$BO$17:$BR$39,3))-VLOOKUP(BA86,$BT$17:$BV$39,3)</f>
        <v>64780.708698550574</v>
      </c>
      <c r="BC86" s="55">
        <f>+AT86</f>
        <v>18673.064799999996</v>
      </c>
      <c r="BD86" s="55">
        <f>+BB86-BC86</f>
        <v>46107.643898550581</v>
      </c>
      <c r="BE86" s="55">
        <f>+BD86*C86</f>
        <v>46107.643898550581</v>
      </c>
      <c r="BF86" s="56"/>
      <c r="BG86" s="62">
        <f t="shared" ref="BG86:BG89" si="225">+(G86+U86+W86)*12</f>
        <v>885081.29999999993</v>
      </c>
      <c r="BH86" s="62">
        <f>+AP86</f>
        <v>125704.40463470318</v>
      </c>
      <c r="BI86" s="62">
        <f t="shared" si="213"/>
        <v>1010785.7046347031</v>
      </c>
      <c r="BJ86" s="55">
        <f t="shared" si="214"/>
        <v>264517.98977579904</v>
      </c>
      <c r="BK86" s="55">
        <f>+AT86*12</f>
        <v>224076.77759999997</v>
      </c>
      <c r="BL86" s="55">
        <f t="shared" ref="BL86:BL89" si="226">+BJ86-BK86</f>
        <v>40441.212175799068</v>
      </c>
      <c r="BM86" s="55">
        <f t="shared" ref="BM86:BM89" si="227">+BL86*C86</f>
        <v>40441.212175799068</v>
      </c>
      <c r="BN86" s="67"/>
    </row>
    <row r="87" spans="2:66" x14ac:dyDescent="0.2">
      <c r="B87" s="95" t="s">
        <v>121</v>
      </c>
      <c r="C87" s="64">
        <v>1</v>
      </c>
      <c r="D87" s="65">
        <v>33058</v>
      </c>
      <c r="E87" s="64"/>
      <c r="F87" s="65">
        <v>10909.140000000001</v>
      </c>
      <c r="G87" s="65">
        <v>33058</v>
      </c>
      <c r="H87" s="65">
        <v>33058</v>
      </c>
      <c r="I87" s="65">
        <v>396696</v>
      </c>
      <c r="J87" s="65">
        <v>5022.0955847031955</v>
      </c>
      <c r="K87" s="65">
        <v>953.33108538812769</v>
      </c>
      <c r="L87" s="65">
        <v>5975.4266700913231</v>
      </c>
      <c r="M87" s="65">
        <v>59754.266700913227</v>
      </c>
      <c r="N87" s="65">
        <v>16363.710000000003</v>
      </c>
      <c r="O87" s="65">
        <v>16363.710000000003</v>
      </c>
      <c r="P87" s="65">
        <v>17246.903010273963</v>
      </c>
      <c r="Q87" s="65">
        <v>14986.399130000002</v>
      </c>
      <c r="R87" s="65">
        <v>11900.880000000001</v>
      </c>
      <c r="S87" s="65">
        <v>69421.799999999988</v>
      </c>
      <c r="T87" s="65">
        <v>7933.92</v>
      </c>
      <c r="U87" s="65">
        <v>709.85474999999997</v>
      </c>
      <c r="V87" s="65">
        <v>8518.2569999999996</v>
      </c>
      <c r="W87" s="65">
        <v>709.85474999999997</v>
      </c>
      <c r="X87" s="65">
        <v>8518.2569999999996</v>
      </c>
      <c r="Y87" s="65">
        <v>0</v>
      </c>
      <c r="Z87" s="65">
        <v>16529</v>
      </c>
      <c r="AA87" s="3"/>
      <c r="AB87" s="42">
        <f>+G87/30</f>
        <v>1101.9333333333334</v>
      </c>
      <c r="AC87" s="60">
        <f>IF(((U87/30)&lt;$AH$4),0,((U87/30)-$AH$4))</f>
        <v>0</v>
      </c>
      <c r="AD87" s="61">
        <f>+AB87+AC87</f>
        <v>1101.9333333333334</v>
      </c>
      <c r="AE87" s="61">
        <f>IF((AD87*$AH$3)&gt;$AI$6,$AI$6,(AD87*$AH$3))</f>
        <v>1267.9780821917809</v>
      </c>
      <c r="AF87" s="62">
        <f>+$AL$1*$AL$2*$AF$9</f>
        <v>5620.9853999999996</v>
      </c>
      <c r="AG87" s="62">
        <f>+IF(AE87&gt;($AH$6*3),(AE87-($AH$6*3))*$AG$8,0)*$AG$9</f>
        <v>4181.6549500000001</v>
      </c>
      <c r="AH87" s="62">
        <f>+IF(AE87&gt;($AH$6*3),(AE87-($AH$6*3))*$AH$8,0)*$AH$9</f>
        <v>1520.6017999999999</v>
      </c>
      <c r="AI87" s="62">
        <f>+(AE87*$AI$9)*$AI$8</f>
        <v>3663.1569800000007</v>
      </c>
      <c r="AJ87" s="62">
        <f>+AF87+AG87+AI87</f>
        <v>13465.797330000001</v>
      </c>
      <c r="AK87" s="62">
        <f>+AH87</f>
        <v>1520.6017999999999</v>
      </c>
      <c r="AL87" s="62">
        <f>+AJ87+AK87</f>
        <v>14986.399130000002</v>
      </c>
      <c r="AN87" s="27">
        <f>+AT87*C87</f>
        <v>6664.2108499999986</v>
      </c>
      <c r="AP87" s="66">
        <f t="shared" si="215"/>
        <v>57489.56670091323</v>
      </c>
      <c r="AQ87" s="55">
        <f t="shared" si="216"/>
        <v>4788.1721307061971</v>
      </c>
      <c r="AR87" s="16">
        <f t="shared" si="217"/>
        <v>39265.881630706193</v>
      </c>
      <c r="AS87" s="55">
        <f t="shared" si="218"/>
        <v>8100.662489211858</v>
      </c>
      <c r="AT87" s="55">
        <f t="shared" si="219"/>
        <v>6664.2108499999986</v>
      </c>
      <c r="AU87" s="55">
        <f t="shared" si="220"/>
        <v>1436.4516392118594</v>
      </c>
      <c r="AV87" s="16">
        <f t="shared" si="221"/>
        <v>44054.05376141239</v>
      </c>
      <c r="AW87" s="56">
        <f t="shared" si="222"/>
        <v>0.30000000000000004</v>
      </c>
      <c r="AX87" s="62">
        <f t="shared" si="223"/>
        <v>17246.870010273971</v>
      </c>
      <c r="AY87" s="62">
        <f t="shared" si="224"/>
        <v>17246.870010273971</v>
      </c>
      <c r="AZ87" s="16"/>
      <c r="BA87" s="16">
        <f>+AP87+AR87</f>
        <v>96755.448331619424</v>
      </c>
      <c r="BB87" s="55">
        <f>((BA87-VLOOKUP(BA87,$BO$17:$BR$39,1))*VLOOKUP(BA87,$BO$17:$BR$39,4)+VLOOKUP(BA87,$BO$17:$BR$39,3))-VLOOKUP(BA87,$BT$17:$BV$39,3)</f>
        <v>26301.086832750603</v>
      </c>
      <c r="BC87" s="55">
        <f>+AT87</f>
        <v>6664.2108499999986</v>
      </c>
      <c r="BD87" s="55">
        <f>+BB87-BC87</f>
        <v>19636.875982750604</v>
      </c>
      <c r="BE87" s="55">
        <f>+BD87*C87</f>
        <v>19636.875982750604</v>
      </c>
      <c r="BF87" s="56"/>
      <c r="BG87" s="62">
        <f t="shared" si="225"/>
        <v>413732.51399999997</v>
      </c>
      <c r="BH87" s="62">
        <f>+AP87</f>
        <v>57489.56670091323</v>
      </c>
      <c r="BI87" s="62">
        <f t="shared" si="213"/>
        <v>471222.08070091321</v>
      </c>
      <c r="BJ87" s="55">
        <f t="shared" si="214"/>
        <v>97217.433210273943</v>
      </c>
      <c r="BK87" s="55">
        <f>+AT87*12</f>
        <v>79970.530199999979</v>
      </c>
      <c r="BL87" s="55">
        <f t="shared" si="226"/>
        <v>17246.903010273963</v>
      </c>
      <c r="BM87" s="55">
        <f t="shared" si="227"/>
        <v>17246.903010273963</v>
      </c>
      <c r="BN87" s="67"/>
    </row>
    <row r="88" spans="2:66" x14ac:dyDescent="0.2">
      <c r="B88" s="95" t="s">
        <v>123</v>
      </c>
      <c r="C88" s="64">
        <v>2</v>
      </c>
      <c r="D88" s="65">
        <v>25429</v>
      </c>
      <c r="E88" s="64"/>
      <c r="F88" s="65">
        <v>8391.57</v>
      </c>
      <c r="G88" s="65">
        <v>25429</v>
      </c>
      <c r="H88" s="65">
        <v>50858</v>
      </c>
      <c r="I88" s="65">
        <v>610296</v>
      </c>
      <c r="J88" s="65">
        <v>3941.8591004908681</v>
      </c>
      <c r="K88" s="65">
        <v>744.67984134703181</v>
      </c>
      <c r="L88" s="65">
        <v>9373.0778836758</v>
      </c>
      <c r="M88" s="65">
        <v>93730.778836757992</v>
      </c>
      <c r="N88" s="65">
        <v>12587.355</v>
      </c>
      <c r="O88" s="65">
        <v>25174.71</v>
      </c>
      <c r="P88" s="65">
        <v>20980.216046405461</v>
      </c>
      <c r="Q88" s="65">
        <v>25077.879279999997</v>
      </c>
      <c r="R88" s="65">
        <v>18308.88</v>
      </c>
      <c r="S88" s="65">
        <v>106801.79999999999</v>
      </c>
      <c r="T88" s="65">
        <v>12205.92</v>
      </c>
      <c r="U88" s="65">
        <v>816.33296249999989</v>
      </c>
      <c r="V88" s="65">
        <v>19591.991099999999</v>
      </c>
      <c r="W88" s="65">
        <v>816.33296249999989</v>
      </c>
      <c r="X88" s="65">
        <v>19591.991099999999</v>
      </c>
      <c r="Y88" s="65">
        <v>0</v>
      </c>
      <c r="Z88" s="65">
        <v>25429</v>
      </c>
      <c r="AA88" s="3"/>
      <c r="AB88" s="42">
        <f>+G88/30</f>
        <v>847.63333333333333</v>
      </c>
      <c r="AC88" s="60">
        <f>IF(((U88/30)&lt;$AH$4),0,((U88/30)-$AH$4))</f>
        <v>0</v>
      </c>
      <c r="AD88" s="61">
        <f>+AB88+AC88</f>
        <v>847.63333333333333</v>
      </c>
      <c r="AE88" s="61">
        <f>IF((AD88*$AH$3)&gt;$AI$6,$AI$6,(AD88*$AH$3))</f>
        <v>975.35890410958893</v>
      </c>
      <c r="AF88" s="62">
        <f>+$AL$1*$AL$2*$AF$9</f>
        <v>5620.9853999999996</v>
      </c>
      <c r="AG88" s="62">
        <f>+IF(AE88&gt;($AH$6*3),(AE88-($AH$6*3))*$AG$8,0)*$AG$9</f>
        <v>3006.7889500000001</v>
      </c>
      <c r="AH88" s="62">
        <f>+IF(AE88&gt;($AH$6*3),(AE88-($AH$6*3))*$AH$8,0)*$AH$9</f>
        <v>1093.3778</v>
      </c>
      <c r="AI88" s="62">
        <f>+(AE88*$AI$9)*$AI$8</f>
        <v>2817.7874899999997</v>
      </c>
      <c r="AJ88" s="62">
        <f>+AF88+AG88+AI88</f>
        <v>11445.561839999998</v>
      </c>
      <c r="AK88" s="62">
        <f>+AH88</f>
        <v>1093.3778</v>
      </c>
      <c r="AL88" s="62">
        <f>+AJ88+AK88</f>
        <v>12538.939639999999</v>
      </c>
      <c r="AN88" s="27">
        <f>+AT88*C88</f>
        <v>9614.2985311200009</v>
      </c>
      <c r="AP88" s="66">
        <f t="shared" si="215"/>
        <v>44600.689418378999</v>
      </c>
      <c r="AQ88" s="55">
        <f t="shared" si="216"/>
        <v>3714.6875570375933</v>
      </c>
      <c r="AR88" s="16">
        <f t="shared" si="217"/>
        <v>30776.353482037593</v>
      </c>
      <c r="AS88" s="55">
        <f t="shared" si="218"/>
        <v>5680.8437789752425</v>
      </c>
      <c r="AT88" s="55">
        <f t="shared" si="219"/>
        <v>4807.1492655600005</v>
      </c>
      <c r="AU88" s="55">
        <f t="shared" si="220"/>
        <v>873.694513415242</v>
      </c>
      <c r="AV88" s="16">
        <f t="shared" si="221"/>
        <v>34491.041039075186</v>
      </c>
      <c r="AW88" s="56">
        <f t="shared" si="222"/>
        <v>0.23520000000000002</v>
      </c>
      <c r="AX88" s="62">
        <f t="shared" si="223"/>
        <v>10490.082151202741</v>
      </c>
      <c r="AY88" s="62">
        <f t="shared" si="224"/>
        <v>20980.164302405483</v>
      </c>
      <c r="AZ88" s="16"/>
      <c r="BA88" s="16">
        <f>+AP88+AR88</f>
        <v>75377.042900416593</v>
      </c>
      <c r="BB88" s="55">
        <f>((BA88-VLOOKUP(BA88,$BO$17:$BR$39,1))*VLOOKUP(BA88,$BO$17:$BR$39,4)+VLOOKUP(BA88,$BO$17:$BR$39,3))-VLOOKUP(BA88,$BT$17:$BV$39,3)</f>
        <v>19191.55052813331</v>
      </c>
      <c r="BC88" s="55">
        <f>+AT88</f>
        <v>4807.1492655600005</v>
      </c>
      <c r="BD88" s="55">
        <f>+BB88-BC88</f>
        <v>14384.401262573308</v>
      </c>
      <c r="BE88" s="55">
        <f>+BD88*C88</f>
        <v>28768.802525146617</v>
      </c>
      <c r="BF88" s="56"/>
      <c r="BG88" s="62">
        <f t="shared" si="225"/>
        <v>324739.99109999998</v>
      </c>
      <c r="BH88" s="62">
        <f>+AP88</f>
        <v>44600.689418378999</v>
      </c>
      <c r="BI88" s="62">
        <f t="shared" si="213"/>
        <v>369340.68051837897</v>
      </c>
      <c r="BJ88" s="55">
        <f t="shared" si="214"/>
        <v>68175.899209922733</v>
      </c>
      <c r="BK88" s="55">
        <f>+AT88*12</f>
        <v>57685.791186720002</v>
      </c>
      <c r="BL88" s="55">
        <f t="shared" si="226"/>
        <v>10490.108023202731</v>
      </c>
      <c r="BM88" s="55">
        <f t="shared" si="227"/>
        <v>20980.216046405461</v>
      </c>
      <c r="BN88" s="67"/>
    </row>
    <row r="89" spans="2:66" x14ac:dyDescent="0.2">
      <c r="B89" s="95" t="s">
        <v>135</v>
      </c>
      <c r="C89" s="64">
        <v>1</v>
      </c>
      <c r="D89" s="65">
        <v>14000</v>
      </c>
      <c r="E89" s="64"/>
      <c r="F89" s="65">
        <v>4620</v>
      </c>
      <c r="G89" s="65">
        <v>14000</v>
      </c>
      <c r="H89" s="65">
        <v>14000</v>
      </c>
      <c r="I89" s="65">
        <v>168000</v>
      </c>
      <c r="J89" s="65">
        <v>2413.832044460331</v>
      </c>
      <c r="K89" s="65">
        <v>445.11719007591324</v>
      </c>
      <c r="L89" s="65">
        <v>2858.9492345362441</v>
      </c>
      <c r="M89" s="65">
        <v>28589.492345362443</v>
      </c>
      <c r="N89" s="65">
        <v>6930</v>
      </c>
      <c r="O89" s="65">
        <v>6930</v>
      </c>
      <c r="P89" s="65">
        <v>5622.9991409694267</v>
      </c>
      <c r="Q89" s="65">
        <v>8994.2600370769069</v>
      </c>
      <c r="R89" s="65">
        <v>5040</v>
      </c>
      <c r="S89" s="65">
        <v>29400</v>
      </c>
      <c r="T89" s="65">
        <v>3360</v>
      </c>
      <c r="U89" s="65">
        <v>1285.7244159375</v>
      </c>
      <c r="V89" s="65">
        <v>15428.69299125</v>
      </c>
      <c r="W89" s="65">
        <v>1285.7244159375</v>
      </c>
      <c r="X89" s="65">
        <v>15428.69299125</v>
      </c>
      <c r="Y89" s="65">
        <v>0</v>
      </c>
      <c r="Z89" s="65">
        <v>7000</v>
      </c>
      <c r="AA89" s="3"/>
      <c r="AB89" s="42">
        <f>+G89/30</f>
        <v>466.66666666666669</v>
      </c>
      <c r="AC89" s="60">
        <f>IF(((U89/30)&lt;$AH$4),0,((U89/30)-$AH$4))</f>
        <v>12.66148053125</v>
      </c>
      <c r="AD89" s="61">
        <f>+AB89+AC89</f>
        <v>479.32814719791668</v>
      </c>
      <c r="AE89" s="61">
        <f>IF((AD89*$AH$3)&gt;$AI$6,$AI$6,(AD89*$AH$3))</f>
        <v>551.5556762277397</v>
      </c>
      <c r="AF89" s="62">
        <f>+$AL$1*$AL$2*$AF$9</f>
        <v>5620.9853999999996</v>
      </c>
      <c r="AG89" s="62">
        <f>+IF(AE89&gt;($AH$6*3),(AE89-($AH$6*3))*$AG$8,0)*$AG$9</f>
        <v>1305.2189900543749</v>
      </c>
      <c r="AH89" s="62">
        <f>+IF(AE89&gt;($AH$6*3),(AE89-($AH$6*3))*$AH$8,0)*$AH$9</f>
        <v>474.62508729249998</v>
      </c>
      <c r="AI89" s="62">
        <f>+(AE89*$AI$9)*$AI$8</f>
        <v>1593.4305597300342</v>
      </c>
      <c r="AJ89" s="62">
        <f>+AF89+AG89+AI89</f>
        <v>8519.6349497844076</v>
      </c>
      <c r="AK89" s="62">
        <f>+AH89</f>
        <v>474.62508729249998</v>
      </c>
      <c r="AL89" s="62">
        <f>+AJ89+AK89</f>
        <v>8994.2600370769069</v>
      </c>
      <c r="AN89" s="27">
        <f>+AT89*C89</f>
        <v>2430.5417744884999</v>
      </c>
      <c r="AP89" s="66">
        <f t="shared" si="215"/>
        <v>26324.792345362443</v>
      </c>
      <c r="AQ89" s="55">
        <f t="shared" si="216"/>
        <v>2192.5306501342966</v>
      </c>
      <c r="AR89" s="16">
        <f t="shared" si="217"/>
        <v>18763.979482009297</v>
      </c>
      <c r="AS89" s="55">
        <f t="shared" si="218"/>
        <v>2898.8663213571858</v>
      </c>
      <c r="AT89" s="55">
        <f t="shared" si="219"/>
        <v>2430.5417744884999</v>
      </c>
      <c r="AU89" s="55">
        <f t="shared" si="220"/>
        <v>468.32454686868596</v>
      </c>
      <c r="AV89" s="16">
        <f t="shared" si="221"/>
        <v>20956.510132143594</v>
      </c>
      <c r="AW89" s="56">
        <f t="shared" si="222"/>
        <v>0.2136000000000001</v>
      </c>
      <c r="AX89" s="62">
        <f t="shared" si="223"/>
        <v>5622.9756449694205</v>
      </c>
      <c r="AY89" s="62">
        <f t="shared" si="224"/>
        <v>5622.9756449694205</v>
      </c>
      <c r="AZ89" s="16"/>
      <c r="BA89" s="16">
        <f>+AP89+AR89</f>
        <v>45088.77182737174</v>
      </c>
      <c r="BB89" s="55">
        <f>((BA89-VLOOKUP(BA89,$BO$17:$BR$39,1))*VLOOKUP(BA89,$BO$17:$BR$39,4)+VLOOKUP(BA89,$BO$17:$BR$39,3))-VLOOKUP(BA89,$BT$17:$BV$39,3)</f>
        <v>9847.5295482115216</v>
      </c>
      <c r="BC89" s="55">
        <f>+AT89</f>
        <v>2430.5417744884999</v>
      </c>
      <c r="BD89" s="55">
        <f>+BB89-BC89</f>
        <v>7416.9877737230217</v>
      </c>
      <c r="BE89" s="55">
        <f>+BD89*C89</f>
        <v>7416.9877737230217</v>
      </c>
      <c r="BF89" s="56"/>
      <c r="BG89" s="62">
        <f t="shared" si="225"/>
        <v>198857.38598250001</v>
      </c>
      <c r="BH89" s="62">
        <f>+AP89</f>
        <v>26324.792345362443</v>
      </c>
      <c r="BI89" s="62">
        <f t="shared" si="213"/>
        <v>225182.17832786246</v>
      </c>
      <c r="BJ89" s="55">
        <f t="shared" si="214"/>
        <v>34789.500434831425</v>
      </c>
      <c r="BK89" s="55">
        <f>+AT89*12</f>
        <v>29166.501293861998</v>
      </c>
      <c r="BL89" s="55">
        <f t="shared" si="226"/>
        <v>5622.9991409694267</v>
      </c>
      <c r="BM89" s="55">
        <f t="shared" si="227"/>
        <v>5622.9991409694267</v>
      </c>
      <c r="BN89" s="67"/>
    </row>
    <row r="90" spans="2:66" x14ac:dyDescent="0.2">
      <c r="B90" s="75" t="s">
        <v>91</v>
      </c>
      <c r="C90" s="76">
        <v>5</v>
      </c>
      <c r="D90" s="100">
        <v>145215</v>
      </c>
      <c r="E90" s="76"/>
      <c r="F90" s="100"/>
      <c r="G90" s="100">
        <v>145215</v>
      </c>
      <c r="H90" s="100">
        <v>170644</v>
      </c>
      <c r="I90" s="100">
        <v>2047728</v>
      </c>
      <c r="J90" s="100"/>
      <c r="K90" s="100"/>
      <c r="L90" s="100">
        <v>31004.364251773684</v>
      </c>
      <c r="M90" s="100">
        <v>310043.64251773682</v>
      </c>
      <c r="N90" s="100"/>
      <c r="O90" s="100">
        <v>84468.78</v>
      </c>
      <c r="P90" s="100">
        <v>84291.330373447912</v>
      </c>
      <c r="Q90" s="100">
        <v>69224.512415826903</v>
      </c>
      <c r="R90" s="100">
        <v>61431.840000000011</v>
      </c>
      <c r="S90" s="100">
        <v>358352.39999999997</v>
      </c>
      <c r="T90" s="100">
        <v>37088.04</v>
      </c>
      <c r="U90" s="100">
        <v>3326.2996284374999</v>
      </c>
      <c r="V90" s="100">
        <v>49711.591091249997</v>
      </c>
      <c r="W90" s="100">
        <v>3326.2996284374999</v>
      </c>
      <c r="X90" s="100">
        <v>49711.591091249997</v>
      </c>
      <c r="Y90" s="100">
        <v>0</v>
      </c>
      <c r="Z90" s="100">
        <v>48958</v>
      </c>
      <c r="AA90" s="42"/>
      <c r="AB90" s="42"/>
      <c r="AC90" s="60"/>
      <c r="AD90" s="61"/>
      <c r="AE90" s="61"/>
      <c r="AF90" s="62"/>
      <c r="AG90" s="62"/>
      <c r="AH90" s="62"/>
      <c r="AI90" s="62"/>
      <c r="AJ90" s="62"/>
      <c r="AK90" s="62"/>
      <c r="AL90" s="62"/>
      <c r="AN90" s="27"/>
      <c r="AP90" s="55"/>
      <c r="AQ90" s="55"/>
      <c r="AR90" s="16"/>
      <c r="AS90" s="16"/>
      <c r="AT90" s="55"/>
      <c r="AU90" s="55"/>
      <c r="AV90" s="55"/>
      <c r="AW90" s="93"/>
      <c r="AX90" s="62"/>
      <c r="AY90" s="62"/>
      <c r="AZ90" s="16"/>
      <c r="BA90" s="16"/>
      <c r="BB90" s="55"/>
      <c r="BC90" s="55"/>
      <c r="BD90" s="55"/>
      <c r="BE90" s="55">
        <f>+BD90*C90</f>
        <v>0</v>
      </c>
      <c r="BF90" s="56"/>
      <c r="BG90" s="62"/>
      <c r="BH90" s="62"/>
      <c r="BI90" s="62"/>
      <c r="BJ90" s="55"/>
      <c r="BK90" s="55"/>
      <c r="BL90" s="55"/>
      <c r="BM90" s="55"/>
      <c r="BN90" s="67"/>
    </row>
    <row r="91" spans="2:66" x14ac:dyDescent="0.2">
      <c r="B91" s="118" t="s">
        <v>160</v>
      </c>
      <c r="C91" s="122"/>
      <c r="D91" s="123"/>
      <c r="E91" s="122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42"/>
      <c r="AB91" s="42"/>
      <c r="AC91" s="60"/>
      <c r="AD91" s="61"/>
      <c r="AE91" s="61"/>
      <c r="AF91" s="62"/>
      <c r="AG91" s="62"/>
      <c r="AH91" s="62"/>
      <c r="AI91" s="62"/>
      <c r="AJ91" s="62"/>
      <c r="AK91" s="62"/>
      <c r="AL91" s="62"/>
      <c r="AN91" s="27"/>
      <c r="AP91" s="55"/>
      <c r="AQ91" s="55"/>
      <c r="AR91" s="16"/>
      <c r="AS91" s="16"/>
      <c r="AT91" s="55"/>
      <c r="AU91" s="55"/>
      <c r="AV91" s="55"/>
      <c r="AW91" s="93"/>
      <c r="AX91" s="62"/>
      <c r="AY91" s="62"/>
      <c r="AZ91" s="16"/>
      <c r="BA91" s="16"/>
      <c r="BB91" s="55"/>
      <c r="BC91" s="55"/>
      <c r="BD91" s="55"/>
      <c r="BE91" s="55"/>
      <c r="BF91" s="56"/>
      <c r="BG91" s="62"/>
      <c r="BH91" s="62"/>
      <c r="BI91" s="62"/>
      <c r="BJ91" s="55"/>
      <c r="BK91" s="55"/>
      <c r="BL91" s="55"/>
      <c r="BM91" s="55"/>
      <c r="BN91" s="67"/>
    </row>
    <row r="92" spans="2:66" x14ac:dyDescent="0.2">
      <c r="B92" s="95" t="s">
        <v>137</v>
      </c>
      <c r="C92" s="64">
        <v>1</v>
      </c>
      <c r="D92" s="65">
        <v>80000</v>
      </c>
      <c r="E92" s="64"/>
      <c r="F92" s="65">
        <v>26400</v>
      </c>
      <c r="G92" s="65">
        <v>80000</v>
      </c>
      <c r="H92" s="65">
        <v>80000</v>
      </c>
      <c r="I92" s="65">
        <v>960000</v>
      </c>
      <c r="J92" s="65">
        <v>11792.366666666667</v>
      </c>
      <c r="K92" s="65">
        <v>2254.9872146118719</v>
      </c>
      <c r="L92" s="65">
        <v>14047.353881278539</v>
      </c>
      <c r="M92" s="65">
        <v>140473.53881278538</v>
      </c>
      <c r="N92" s="65">
        <v>39600</v>
      </c>
      <c r="O92" s="65">
        <v>39600</v>
      </c>
      <c r="P92" s="65">
        <v>46420.773796347057</v>
      </c>
      <c r="Q92" s="65">
        <v>20165.973968749997</v>
      </c>
      <c r="R92" s="65">
        <v>28800</v>
      </c>
      <c r="S92" s="65">
        <v>168000</v>
      </c>
      <c r="T92" s="65">
        <v>13588.199999999999</v>
      </c>
      <c r="U92" s="65">
        <v>478.50000000000006</v>
      </c>
      <c r="V92" s="65">
        <v>5742.0000000000009</v>
      </c>
      <c r="W92" s="65">
        <v>478.50000000000006</v>
      </c>
      <c r="X92" s="65">
        <v>5742.0000000000009</v>
      </c>
      <c r="Y92" s="65">
        <v>0</v>
      </c>
      <c r="Z92" s="65">
        <v>0</v>
      </c>
      <c r="AA92" s="3"/>
      <c r="AB92" s="42">
        <f>+G92/30</f>
        <v>2666.6666666666665</v>
      </c>
      <c r="AC92" s="60">
        <f>IF(((U92/30)&lt;$AH$4),0,((U92/30)-$AH$4))</f>
        <v>0</v>
      </c>
      <c r="AD92" s="61">
        <f>+AB92+AC92</f>
        <v>2666.6666666666665</v>
      </c>
      <c r="AE92" s="61">
        <f>IF((AD92*$AH$3)&gt;$AI$6,$AI$6,(AD92*$AH$3))</f>
        <v>1887.2499999999998</v>
      </c>
      <c r="AF92" s="62">
        <f>+$AL$1*$AL$2*$AF$9</f>
        <v>5620.9853999999996</v>
      </c>
      <c r="AG92" s="62">
        <f>+IF(AE92&gt;($AH$6*3),(AE92-($AH$6*3))*$AG$8,0)*$AG$9</f>
        <v>6668.0316999999986</v>
      </c>
      <c r="AH92" s="62">
        <f>+IF(AE92&gt;($AH$6*3),(AE92-($AH$6*3))*$AH$8,0)*$AH$9</f>
        <v>2424.7387999999996</v>
      </c>
      <c r="AI92" s="62">
        <f>+(AE92*$AI$9)*$AI$8</f>
        <v>5452.2180687499995</v>
      </c>
      <c r="AJ92" s="62">
        <f>+AF92+AG92+AI92</f>
        <v>17741.235168749998</v>
      </c>
      <c r="AK92" s="62">
        <f>+AH92</f>
        <v>2424.7387999999996</v>
      </c>
      <c r="AL92" s="62">
        <f>+AJ92+AK92</f>
        <v>20165.973968749997</v>
      </c>
      <c r="AN92" s="27">
        <f>+AT92*C92</f>
        <v>20977.1368</v>
      </c>
      <c r="AP92" s="66">
        <f t="shared" ref="AP92:AP96" si="228">+((M92/C92)-($AL$2*30))</f>
        <v>138208.83881278537</v>
      </c>
      <c r="AQ92" s="55">
        <f t="shared" ref="AQ92:AQ96" si="229">+AP92/365*30.4</f>
        <v>11511.092328516917</v>
      </c>
      <c r="AR92" s="16">
        <f t="shared" ref="AR92:AR96" si="230">+G92+U92+W92+AQ92</f>
        <v>92468.092328516912</v>
      </c>
      <c r="AS92" s="55">
        <f t="shared" ref="AS92:AS96" si="231">((AR92-VLOOKUP(AR92,$BO$17:$BR$39,1))*VLOOKUP(AR92,$BO$17:$BR$39,4)+VLOOKUP(AR92,$BO$17:$BR$39,3))-VLOOKUP(AR92,$BT$17:$BV$39,3)</f>
        <v>24843.38579169575</v>
      </c>
      <c r="AT92" s="55">
        <f t="shared" ref="AT92:AT96" si="232">(((G92+U92+W92)-VLOOKUP((G92+U92+W92),$BO$17:$BR$39,1))*VLOOKUP((G92+U92+W92),$BO$17:$BR$39,4)+VLOOKUP((G92+U92+W92),$BO$17:$BR$39,3))-VLOOKUP((G92+U92+W92),$BT$17:$BV$39,3)</f>
        <v>20977.1368</v>
      </c>
      <c r="AU92" s="55">
        <f t="shared" ref="AU92:AU96" si="233">+AS92-AT92</f>
        <v>3866.2489916957493</v>
      </c>
      <c r="AV92" s="16">
        <f t="shared" ref="AV92:AV96" si="234">+AR92+AQ92</f>
        <v>103979.18465703382</v>
      </c>
      <c r="AW92" s="56">
        <f t="shared" ref="AW92:AW96" si="235">+(AU92/AQ92)</f>
        <v>0.33587159944132555</v>
      </c>
      <c r="AX92" s="62">
        <f t="shared" ref="AX92:AX96" si="236">+AP92*AW92</f>
        <v>46420.423748978574</v>
      </c>
      <c r="AY92" s="62">
        <f t="shared" ref="AY92:AY96" si="237">+AX92*C92</f>
        <v>46420.423748978574</v>
      </c>
      <c r="AZ92" s="16"/>
      <c r="BA92" s="16">
        <f>+AP92+AR92</f>
        <v>230676.93114130228</v>
      </c>
      <c r="BB92" s="55">
        <f>((BA92-VLOOKUP(BA92,$BO$17:$BR$39,1))*VLOOKUP(BA92,$BO$17:$BR$39,4)+VLOOKUP(BA92,$BO$17:$BR$39,3))-VLOOKUP(BA92,$BT$17:$BV$39,3)</f>
        <v>71834.390988042782</v>
      </c>
      <c r="BC92" s="55">
        <f>+AT92</f>
        <v>20977.1368</v>
      </c>
      <c r="BD92" s="55">
        <f>+BB92-BC92</f>
        <v>50857.254188042782</v>
      </c>
      <c r="BE92" s="55">
        <f t="shared" ref="BE92:BE97" si="238">+BD92*C92</f>
        <v>50857.254188042782</v>
      </c>
      <c r="BF92" s="56"/>
      <c r="BG92" s="62">
        <f t="shared" ref="BG92:BG96" si="239">+(G92+U92+W92)*12</f>
        <v>971484</v>
      </c>
      <c r="BH92" s="62">
        <f>+AP92</f>
        <v>138208.83881278537</v>
      </c>
      <c r="BI92" s="62">
        <f t="shared" si="213"/>
        <v>1109692.8388127855</v>
      </c>
      <c r="BJ92" s="55">
        <f t="shared" si="214"/>
        <v>298146.41539634706</v>
      </c>
      <c r="BK92" s="55">
        <f>+AT92*12</f>
        <v>251725.6416</v>
      </c>
      <c r="BL92" s="55">
        <f t="shared" ref="BL92:BL96" si="240">+BJ92-BK92</f>
        <v>46420.773796347057</v>
      </c>
      <c r="BM92" s="55">
        <f t="shared" ref="BM92:BM96" si="241">+BL92*C92</f>
        <v>46420.773796347057</v>
      </c>
      <c r="BN92" s="67"/>
    </row>
    <row r="93" spans="2:66" x14ac:dyDescent="0.2">
      <c r="B93" s="95" t="s">
        <v>161</v>
      </c>
      <c r="C93" s="64">
        <v>1</v>
      </c>
      <c r="D93" s="65">
        <v>33058</v>
      </c>
      <c r="E93" s="64"/>
      <c r="F93" s="65">
        <v>10909.140000000001</v>
      </c>
      <c r="G93" s="65">
        <v>33058</v>
      </c>
      <c r="H93" s="65">
        <v>33058</v>
      </c>
      <c r="I93" s="65">
        <v>396696</v>
      </c>
      <c r="J93" s="65">
        <v>5022.0955847031955</v>
      </c>
      <c r="K93" s="65">
        <v>953.33108538812769</v>
      </c>
      <c r="L93" s="65">
        <v>5975.4266700913231</v>
      </c>
      <c r="M93" s="65">
        <v>59754.266700913227</v>
      </c>
      <c r="N93" s="65">
        <v>16363.710000000003</v>
      </c>
      <c r="O93" s="65">
        <v>16363.710000000003</v>
      </c>
      <c r="P93" s="65">
        <v>17246.903010273963</v>
      </c>
      <c r="Q93" s="65">
        <v>14986.399130000002</v>
      </c>
      <c r="R93" s="65">
        <v>11900.880000000001</v>
      </c>
      <c r="S93" s="65">
        <v>69421.799999999988</v>
      </c>
      <c r="T93" s="65">
        <v>7933.92</v>
      </c>
      <c r="U93" s="65">
        <v>709.85474999999997</v>
      </c>
      <c r="V93" s="65">
        <v>8518.2569999999996</v>
      </c>
      <c r="W93" s="65">
        <v>709.85474999999997</v>
      </c>
      <c r="X93" s="65">
        <v>8518.2569999999996</v>
      </c>
      <c r="Y93" s="65">
        <v>0</v>
      </c>
      <c r="Z93" s="65">
        <v>16529</v>
      </c>
      <c r="AA93" s="3"/>
      <c r="AB93" s="42">
        <f>+G93/30</f>
        <v>1101.9333333333334</v>
      </c>
      <c r="AC93" s="60">
        <f>IF(((U93/30)&lt;$AH$4),0,((U93/30)-$AH$4))</f>
        <v>0</v>
      </c>
      <c r="AD93" s="61">
        <f>+AB93+AC93</f>
        <v>1101.9333333333334</v>
      </c>
      <c r="AE93" s="61">
        <f>IF((AD93*$AH$3)&gt;$AI$6,$AI$6,(AD93*$AH$3))</f>
        <v>1267.9780821917809</v>
      </c>
      <c r="AF93" s="62">
        <f>+$AL$1*$AL$2*$AF$9</f>
        <v>5620.9853999999996</v>
      </c>
      <c r="AG93" s="62">
        <f>+IF(AE93&gt;($AH$6*3),(AE93-($AH$6*3))*$AG$8,0)*$AG$9</f>
        <v>4181.6549500000001</v>
      </c>
      <c r="AH93" s="62">
        <f>+IF(AE93&gt;($AH$6*3),(AE93-($AH$6*3))*$AH$8,0)*$AH$9</f>
        <v>1520.6017999999999</v>
      </c>
      <c r="AI93" s="62">
        <f>+(AE93*$AI$9)*$AI$8</f>
        <v>3663.1569800000007</v>
      </c>
      <c r="AJ93" s="62">
        <f>+AF93+AG93+AI93</f>
        <v>13465.797330000001</v>
      </c>
      <c r="AK93" s="62">
        <f>+AH93</f>
        <v>1520.6017999999999</v>
      </c>
      <c r="AL93" s="62">
        <f>+AJ93+AK93</f>
        <v>14986.399130000002</v>
      </c>
      <c r="AN93" s="27">
        <f>+AT93*C93</f>
        <v>6664.2108499999986</v>
      </c>
      <c r="AP93" s="66">
        <f t="shared" si="228"/>
        <v>57489.56670091323</v>
      </c>
      <c r="AQ93" s="55">
        <f t="shared" si="229"/>
        <v>4788.1721307061971</v>
      </c>
      <c r="AR93" s="16">
        <f t="shared" si="230"/>
        <v>39265.881630706193</v>
      </c>
      <c r="AS93" s="55">
        <f t="shared" si="231"/>
        <v>8100.662489211858</v>
      </c>
      <c r="AT93" s="55">
        <f t="shared" si="232"/>
        <v>6664.2108499999986</v>
      </c>
      <c r="AU93" s="55">
        <f t="shared" si="233"/>
        <v>1436.4516392118594</v>
      </c>
      <c r="AV93" s="16">
        <f t="shared" si="234"/>
        <v>44054.05376141239</v>
      </c>
      <c r="AW93" s="56">
        <f t="shared" si="235"/>
        <v>0.30000000000000004</v>
      </c>
      <c r="AX93" s="62">
        <f t="shared" si="236"/>
        <v>17246.870010273971</v>
      </c>
      <c r="AY93" s="62">
        <f t="shared" si="237"/>
        <v>17246.870010273971</v>
      </c>
      <c r="AZ93" s="16"/>
      <c r="BA93" s="16">
        <f>+AP93+AR93</f>
        <v>96755.448331619424</v>
      </c>
      <c r="BB93" s="55">
        <f>((BA93-VLOOKUP(BA93,$BO$17:$BR$39,1))*VLOOKUP(BA93,$BO$17:$BR$39,4)+VLOOKUP(BA93,$BO$17:$BR$39,3))-VLOOKUP(BA93,$BT$17:$BV$39,3)</f>
        <v>26301.086832750603</v>
      </c>
      <c r="BC93" s="55">
        <f>+AT93</f>
        <v>6664.2108499999986</v>
      </c>
      <c r="BD93" s="55">
        <f>+BB93-BC93</f>
        <v>19636.875982750604</v>
      </c>
      <c r="BE93" s="55">
        <f t="shared" si="238"/>
        <v>19636.875982750604</v>
      </c>
      <c r="BF93" s="56"/>
      <c r="BG93" s="62">
        <f t="shared" si="239"/>
        <v>413732.51399999997</v>
      </c>
      <c r="BH93" s="62">
        <f>+AP93</f>
        <v>57489.56670091323</v>
      </c>
      <c r="BI93" s="62">
        <f t="shared" si="213"/>
        <v>471222.08070091321</v>
      </c>
      <c r="BJ93" s="55">
        <f t="shared" si="214"/>
        <v>97217.433210273943</v>
      </c>
      <c r="BK93" s="55">
        <f>+AT93*12</f>
        <v>79970.530199999979</v>
      </c>
      <c r="BL93" s="55">
        <f t="shared" si="240"/>
        <v>17246.903010273963</v>
      </c>
      <c r="BM93" s="55">
        <f t="shared" si="241"/>
        <v>17246.903010273963</v>
      </c>
      <c r="BN93" s="67"/>
    </row>
    <row r="94" spans="2:66" x14ac:dyDescent="0.2">
      <c r="B94" s="95" t="s">
        <v>162</v>
      </c>
      <c r="C94" s="64">
        <v>1</v>
      </c>
      <c r="D94" s="65">
        <v>33058</v>
      </c>
      <c r="E94" s="64"/>
      <c r="F94" s="65">
        <v>10909.140000000001</v>
      </c>
      <c r="G94" s="65">
        <v>33058</v>
      </c>
      <c r="H94" s="65">
        <v>33058</v>
      </c>
      <c r="I94" s="65">
        <v>396696</v>
      </c>
      <c r="J94" s="65">
        <v>5022.0955847031955</v>
      </c>
      <c r="K94" s="65">
        <v>953.33108538812769</v>
      </c>
      <c r="L94" s="65">
        <v>5975.4266700913231</v>
      </c>
      <c r="M94" s="65">
        <v>59754.266700913227</v>
      </c>
      <c r="N94" s="65">
        <v>16363.710000000003</v>
      </c>
      <c r="O94" s="65">
        <v>16363.710000000003</v>
      </c>
      <c r="P94" s="65">
        <v>17246.903010273963</v>
      </c>
      <c r="Q94" s="65">
        <v>14986.399130000002</v>
      </c>
      <c r="R94" s="65">
        <v>11900.880000000001</v>
      </c>
      <c r="S94" s="65">
        <v>69421.799999999988</v>
      </c>
      <c r="T94" s="65">
        <v>7933.92</v>
      </c>
      <c r="U94" s="65">
        <v>709.85474999999997</v>
      </c>
      <c r="V94" s="65">
        <v>8518.2569999999996</v>
      </c>
      <c r="W94" s="65">
        <v>709.85474999999997</v>
      </c>
      <c r="X94" s="65">
        <v>8518.2569999999996</v>
      </c>
      <c r="Y94" s="65">
        <v>0</v>
      </c>
      <c r="Z94" s="65">
        <v>16529</v>
      </c>
      <c r="AA94" s="3"/>
      <c r="AB94" s="42">
        <f>+G94/30</f>
        <v>1101.9333333333334</v>
      </c>
      <c r="AC94" s="60">
        <f>IF(((U94/30)&lt;$AH$4),0,((U94/30)-$AH$4))</f>
        <v>0</v>
      </c>
      <c r="AD94" s="61">
        <f>+AB94+AC94</f>
        <v>1101.9333333333334</v>
      </c>
      <c r="AE94" s="61">
        <f>IF((AD94*$AH$3)&gt;$AI$6,$AI$6,(AD94*$AH$3))</f>
        <v>1267.9780821917809</v>
      </c>
      <c r="AF94" s="62">
        <f>+$AL$1*$AL$2*$AF$9</f>
        <v>5620.9853999999996</v>
      </c>
      <c r="AG94" s="62">
        <f>+IF(AE94&gt;($AH$6*3),(AE94-($AH$6*3))*$AG$8,0)*$AG$9</f>
        <v>4181.6549500000001</v>
      </c>
      <c r="AH94" s="62">
        <f>+IF(AE94&gt;($AH$6*3),(AE94-($AH$6*3))*$AH$8,0)*$AH$9</f>
        <v>1520.6017999999999</v>
      </c>
      <c r="AI94" s="62">
        <f>+(AE94*$AI$9)*$AI$8</f>
        <v>3663.1569800000007</v>
      </c>
      <c r="AJ94" s="62">
        <f>+AF94+AG94+AI94</f>
        <v>13465.797330000001</v>
      </c>
      <c r="AK94" s="62">
        <f>+AH94</f>
        <v>1520.6017999999999</v>
      </c>
      <c r="AL94" s="62">
        <f>+AJ94+AK94</f>
        <v>14986.399130000002</v>
      </c>
      <c r="AN94" s="27">
        <f>+AT94*C94</f>
        <v>6664.2108499999986</v>
      </c>
      <c r="AP94" s="66">
        <f t="shared" si="228"/>
        <v>57489.56670091323</v>
      </c>
      <c r="AQ94" s="55">
        <f t="shared" si="229"/>
        <v>4788.1721307061971</v>
      </c>
      <c r="AR94" s="16">
        <f t="shared" si="230"/>
        <v>39265.881630706193</v>
      </c>
      <c r="AS94" s="55">
        <f t="shared" si="231"/>
        <v>8100.662489211858</v>
      </c>
      <c r="AT94" s="55">
        <f t="shared" si="232"/>
        <v>6664.2108499999986</v>
      </c>
      <c r="AU94" s="55">
        <f t="shared" si="233"/>
        <v>1436.4516392118594</v>
      </c>
      <c r="AV94" s="16">
        <f t="shared" si="234"/>
        <v>44054.05376141239</v>
      </c>
      <c r="AW94" s="56">
        <f t="shared" si="235"/>
        <v>0.30000000000000004</v>
      </c>
      <c r="AX94" s="62">
        <f t="shared" si="236"/>
        <v>17246.870010273971</v>
      </c>
      <c r="AY94" s="62">
        <f t="shared" si="237"/>
        <v>17246.870010273971</v>
      </c>
      <c r="AZ94" s="16"/>
      <c r="BA94" s="16">
        <f>+AP94+AR94</f>
        <v>96755.448331619424</v>
      </c>
      <c r="BB94" s="55">
        <f>((BA94-VLOOKUP(BA94,$BO$17:$BR$39,1))*VLOOKUP(BA94,$BO$17:$BR$39,4)+VLOOKUP(BA94,$BO$17:$BR$39,3))-VLOOKUP(BA94,$BT$17:$BV$39,3)</f>
        <v>26301.086832750603</v>
      </c>
      <c r="BC94" s="55">
        <f>+AT94</f>
        <v>6664.2108499999986</v>
      </c>
      <c r="BD94" s="55">
        <f>+BB94-BC94</f>
        <v>19636.875982750604</v>
      </c>
      <c r="BE94" s="55">
        <f t="shared" si="238"/>
        <v>19636.875982750604</v>
      </c>
      <c r="BF94" s="56"/>
      <c r="BG94" s="62">
        <f t="shared" si="239"/>
        <v>413732.51399999997</v>
      </c>
      <c r="BH94" s="62">
        <f>+AP94</f>
        <v>57489.56670091323</v>
      </c>
      <c r="BI94" s="62">
        <f t="shared" si="213"/>
        <v>471222.08070091321</v>
      </c>
      <c r="BJ94" s="55">
        <f t="shared" si="214"/>
        <v>97217.433210273943</v>
      </c>
      <c r="BK94" s="55">
        <f>+AT94*12</f>
        <v>79970.530199999979</v>
      </c>
      <c r="BL94" s="55">
        <f t="shared" si="240"/>
        <v>17246.903010273963</v>
      </c>
      <c r="BM94" s="55">
        <f t="shared" si="241"/>
        <v>17246.903010273963</v>
      </c>
      <c r="BN94" s="67"/>
    </row>
    <row r="95" spans="2:66" x14ac:dyDescent="0.2">
      <c r="B95" s="95" t="s">
        <v>163</v>
      </c>
      <c r="C95" s="64">
        <v>4</v>
      </c>
      <c r="D95" s="65">
        <v>25429</v>
      </c>
      <c r="E95" s="64"/>
      <c r="F95" s="65">
        <v>8391.57</v>
      </c>
      <c r="G95" s="65">
        <v>25429</v>
      </c>
      <c r="H95" s="65">
        <v>101716</v>
      </c>
      <c r="I95" s="65">
        <v>1220592</v>
      </c>
      <c r="J95" s="65">
        <v>3941.8591004908681</v>
      </c>
      <c r="K95" s="65">
        <v>744.67984134703181</v>
      </c>
      <c r="L95" s="65">
        <v>18746.1557673516</v>
      </c>
      <c r="M95" s="65">
        <v>187461.55767351598</v>
      </c>
      <c r="N95" s="65">
        <v>12587.355</v>
      </c>
      <c r="O95" s="65">
        <v>50349.42</v>
      </c>
      <c r="P95" s="65">
        <v>41960.432092810923</v>
      </c>
      <c r="Q95" s="65">
        <v>50155.758559999995</v>
      </c>
      <c r="R95" s="65">
        <v>36617.760000000002</v>
      </c>
      <c r="S95" s="65">
        <v>213603.59999999998</v>
      </c>
      <c r="T95" s="65">
        <v>24411.84</v>
      </c>
      <c r="U95" s="65">
        <v>816.33296249999989</v>
      </c>
      <c r="V95" s="65">
        <v>39183.982199999999</v>
      </c>
      <c r="W95" s="65">
        <v>816.33296249999989</v>
      </c>
      <c r="X95" s="65">
        <v>39183.982199999999</v>
      </c>
      <c r="Y95" s="65">
        <v>0</v>
      </c>
      <c r="Z95" s="65">
        <v>50858</v>
      </c>
      <c r="AA95" s="3"/>
      <c r="AB95" s="42">
        <f>+G95/30</f>
        <v>847.63333333333333</v>
      </c>
      <c r="AC95" s="60">
        <f>IF(((U95/30)&lt;$AH$4),0,((U95/30)-$AH$4))</f>
        <v>0</v>
      </c>
      <c r="AD95" s="61">
        <f>+AB95+AC95</f>
        <v>847.63333333333333</v>
      </c>
      <c r="AE95" s="61">
        <f>IF((AD95*$AH$3)&gt;$AI$6,$AI$6,(AD95*$AH$3))</f>
        <v>975.35890410958893</v>
      </c>
      <c r="AF95" s="62">
        <f>+$AL$1*$AL$2*$AF$9</f>
        <v>5620.9853999999996</v>
      </c>
      <c r="AG95" s="62">
        <f>+IF(AE95&gt;($AH$6*3),(AE95-($AH$6*3))*$AG$8,0)*$AG$9</f>
        <v>3006.7889500000001</v>
      </c>
      <c r="AH95" s="62">
        <f>+IF(AE95&gt;($AH$6*3),(AE95-($AH$6*3))*$AH$8,0)*$AH$9</f>
        <v>1093.3778</v>
      </c>
      <c r="AI95" s="62">
        <f>+(AE95*$AI$9)*$AI$8</f>
        <v>2817.7874899999997</v>
      </c>
      <c r="AJ95" s="62">
        <f>+AF95+AG95+AI95</f>
        <v>11445.561839999998</v>
      </c>
      <c r="AK95" s="62">
        <f>+AH95</f>
        <v>1093.3778</v>
      </c>
      <c r="AL95" s="62">
        <f>+AJ95+AK95</f>
        <v>12538.939639999999</v>
      </c>
      <c r="AN95" s="27">
        <f>+AT95*C95</f>
        <v>19228.597062240002</v>
      </c>
      <c r="AP95" s="66">
        <f t="shared" si="228"/>
        <v>44600.689418378999</v>
      </c>
      <c r="AQ95" s="55">
        <f t="shared" si="229"/>
        <v>3714.6875570375933</v>
      </c>
      <c r="AR95" s="16">
        <f t="shared" si="230"/>
        <v>30776.353482037593</v>
      </c>
      <c r="AS95" s="55">
        <f t="shared" si="231"/>
        <v>5680.8437789752425</v>
      </c>
      <c r="AT95" s="55">
        <f t="shared" si="232"/>
        <v>4807.1492655600005</v>
      </c>
      <c r="AU95" s="55">
        <f t="shared" si="233"/>
        <v>873.694513415242</v>
      </c>
      <c r="AV95" s="16">
        <f t="shared" si="234"/>
        <v>34491.041039075186</v>
      </c>
      <c r="AW95" s="56">
        <f t="shared" si="235"/>
        <v>0.23520000000000002</v>
      </c>
      <c r="AX95" s="62">
        <f t="shared" si="236"/>
        <v>10490.082151202741</v>
      </c>
      <c r="AY95" s="62">
        <f t="shared" si="237"/>
        <v>41960.328604810966</v>
      </c>
      <c r="AZ95" s="16"/>
      <c r="BA95" s="16">
        <f>+AP95+AR95</f>
        <v>75377.042900416593</v>
      </c>
      <c r="BB95" s="55">
        <f>((BA95-VLOOKUP(BA95,$BO$17:$BR$39,1))*VLOOKUP(BA95,$BO$17:$BR$39,4)+VLOOKUP(BA95,$BO$17:$BR$39,3))-VLOOKUP(BA95,$BT$17:$BV$39,3)</f>
        <v>19191.55052813331</v>
      </c>
      <c r="BC95" s="55">
        <f>+AT95</f>
        <v>4807.1492655600005</v>
      </c>
      <c r="BD95" s="55">
        <f>+BB95-BC95</f>
        <v>14384.401262573308</v>
      </c>
      <c r="BE95" s="55">
        <f t="shared" si="238"/>
        <v>57537.605050293234</v>
      </c>
      <c r="BF95" s="56"/>
      <c r="BG95" s="62">
        <f t="shared" si="239"/>
        <v>324739.99109999998</v>
      </c>
      <c r="BH95" s="62">
        <f>+AP95</f>
        <v>44600.689418378999</v>
      </c>
      <c r="BI95" s="62">
        <f t="shared" si="213"/>
        <v>369340.68051837897</v>
      </c>
      <c r="BJ95" s="55">
        <f t="shared" si="214"/>
        <v>68175.899209922733</v>
      </c>
      <c r="BK95" s="55">
        <f>+AT95*12</f>
        <v>57685.791186720002</v>
      </c>
      <c r="BL95" s="55">
        <f t="shared" si="240"/>
        <v>10490.108023202731</v>
      </c>
      <c r="BM95" s="55">
        <f t="shared" si="241"/>
        <v>41960.432092810923</v>
      </c>
      <c r="BN95" s="67"/>
    </row>
    <row r="96" spans="2:66" x14ac:dyDescent="0.2">
      <c r="B96" s="95" t="s">
        <v>135</v>
      </c>
      <c r="C96" s="64">
        <v>1</v>
      </c>
      <c r="D96" s="65">
        <v>14000</v>
      </c>
      <c r="E96" s="64"/>
      <c r="F96" s="65">
        <v>4620</v>
      </c>
      <c r="G96" s="65">
        <v>14000</v>
      </c>
      <c r="H96" s="65">
        <v>14000</v>
      </c>
      <c r="I96" s="65">
        <v>168000</v>
      </c>
      <c r="J96" s="65">
        <v>2413.832044460331</v>
      </c>
      <c r="K96" s="65">
        <v>445.11719007591324</v>
      </c>
      <c r="L96" s="65">
        <v>2858.9492345362441</v>
      </c>
      <c r="M96" s="65">
        <v>28589.492345362443</v>
      </c>
      <c r="N96" s="65">
        <v>6930</v>
      </c>
      <c r="O96" s="65">
        <v>6930</v>
      </c>
      <c r="P96" s="65">
        <v>5622.9991409694267</v>
      </c>
      <c r="Q96" s="65">
        <v>8994.2600370769069</v>
      </c>
      <c r="R96" s="65">
        <v>5040</v>
      </c>
      <c r="S96" s="65">
        <v>29400</v>
      </c>
      <c r="T96" s="65">
        <v>3360</v>
      </c>
      <c r="U96" s="65">
        <v>1285.7244159375</v>
      </c>
      <c r="V96" s="65">
        <v>15428.69299125</v>
      </c>
      <c r="W96" s="65">
        <v>1285.7244159375</v>
      </c>
      <c r="X96" s="65">
        <v>15428.69299125</v>
      </c>
      <c r="Y96" s="65">
        <v>0</v>
      </c>
      <c r="Z96" s="65">
        <v>7000</v>
      </c>
      <c r="AA96" s="3"/>
      <c r="AB96" s="42">
        <f>+G96/30</f>
        <v>466.66666666666669</v>
      </c>
      <c r="AC96" s="60">
        <f>IF(((U96/30)&lt;$AH$4),0,((U96/30)-$AH$4))</f>
        <v>12.66148053125</v>
      </c>
      <c r="AD96" s="61">
        <f>+AB96+AC96</f>
        <v>479.32814719791668</v>
      </c>
      <c r="AE96" s="61">
        <f>IF((AD96*$AH$3)&gt;$AI$6,$AI$6,(AD96*$AH$3))</f>
        <v>551.5556762277397</v>
      </c>
      <c r="AF96" s="62">
        <f>+$AL$1*$AL$2*$AF$9</f>
        <v>5620.9853999999996</v>
      </c>
      <c r="AG96" s="62">
        <f>+IF(AE96&gt;($AH$6*3),(AE96-($AH$6*3))*$AG$8,0)*$AG$9</f>
        <v>1305.2189900543749</v>
      </c>
      <c r="AH96" s="62">
        <f>+IF(AE96&gt;($AH$6*3),(AE96-($AH$6*3))*$AH$8,0)*$AH$9</f>
        <v>474.62508729249998</v>
      </c>
      <c r="AI96" s="62">
        <f>+(AE96*$AI$9)*$AI$8</f>
        <v>1593.4305597300342</v>
      </c>
      <c r="AJ96" s="62">
        <f>+AF96+AG96+AI96</f>
        <v>8519.6349497844076</v>
      </c>
      <c r="AK96" s="62">
        <f>+AH96</f>
        <v>474.62508729249998</v>
      </c>
      <c r="AL96" s="62">
        <f>+AJ96+AK96</f>
        <v>8994.2600370769069</v>
      </c>
      <c r="AN96" s="27">
        <f>+AT96*C96</f>
        <v>2430.5417744884999</v>
      </c>
      <c r="AP96" s="66">
        <f t="shared" si="228"/>
        <v>26324.792345362443</v>
      </c>
      <c r="AQ96" s="55">
        <f t="shared" si="229"/>
        <v>2192.5306501342966</v>
      </c>
      <c r="AR96" s="16">
        <f t="shared" si="230"/>
        <v>18763.979482009297</v>
      </c>
      <c r="AS96" s="55">
        <f t="shared" si="231"/>
        <v>2898.8663213571858</v>
      </c>
      <c r="AT96" s="55">
        <f t="shared" si="232"/>
        <v>2430.5417744884999</v>
      </c>
      <c r="AU96" s="55">
        <f t="shared" si="233"/>
        <v>468.32454686868596</v>
      </c>
      <c r="AV96" s="16">
        <f t="shared" si="234"/>
        <v>20956.510132143594</v>
      </c>
      <c r="AW96" s="56">
        <f t="shared" si="235"/>
        <v>0.2136000000000001</v>
      </c>
      <c r="AX96" s="62">
        <f t="shared" si="236"/>
        <v>5622.9756449694205</v>
      </c>
      <c r="AY96" s="62">
        <f t="shared" si="237"/>
        <v>5622.9756449694205</v>
      </c>
      <c r="AZ96" s="16"/>
      <c r="BA96" s="16">
        <f>+AP96+AR96</f>
        <v>45088.77182737174</v>
      </c>
      <c r="BB96" s="55">
        <f>((BA96-VLOOKUP(BA96,$BO$17:$BR$39,1))*VLOOKUP(BA96,$BO$17:$BR$39,4)+VLOOKUP(BA96,$BO$17:$BR$39,3))-VLOOKUP(BA96,$BT$17:$BV$39,3)</f>
        <v>9847.5295482115216</v>
      </c>
      <c r="BC96" s="55">
        <f>+AT96</f>
        <v>2430.5417744884999</v>
      </c>
      <c r="BD96" s="55">
        <f>+BB96-BC96</f>
        <v>7416.9877737230217</v>
      </c>
      <c r="BE96" s="55">
        <f t="shared" si="238"/>
        <v>7416.9877737230217</v>
      </c>
      <c r="BF96" s="56"/>
      <c r="BG96" s="62">
        <f t="shared" si="239"/>
        <v>198857.38598250001</v>
      </c>
      <c r="BH96" s="62">
        <f>+AP96</f>
        <v>26324.792345362443</v>
      </c>
      <c r="BI96" s="62">
        <f t="shared" si="213"/>
        <v>225182.17832786246</v>
      </c>
      <c r="BJ96" s="55">
        <f t="shared" si="214"/>
        <v>34789.500434831425</v>
      </c>
      <c r="BK96" s="55">
        <f>+AT96*12</f>
        <v>29166.501293861998</v>
      </c>
      <c r="BL96" s="55">
        <f t="shared" si="240"/>
        <v>5622.9991409694267</v>
      </c>
      <c r="BM96" s="55">
        <f t="shared" si="241"/>
        <v>5622.9991409694267</v>
      </c>
      <c r="BN96" s="67"/>
    </row>
    <row r="97" spans="2:66" x14ac:dyDescent="0.2">
      <c r="B97" s="75" t="s">
        <v>91</v>
      </c>
      <c r="C97" s="76">
        <v>8</v>
      </c>
      <c r="D97" s="100">
        <v>185545</v>
      </c>
      <c r="E97" s="76"/>
      <c r="F97" s="100"/>
      <c r="G97" s="100">
        <v>185545</v>
      </c>
      <c r="H97" s="100">
        <v>261832</v>
      </c>
      <c r="I97" s="100">
        <v>3141984</v>
      </c>
      <c r="J97" s="100"/>
      <c r="K97" s="100"/>
      <c r="L97" s="100">
        <v>47603.312223349028</v>
      </c>
      <c r="M97" s="100">
        <v>476033.12223349023</v>
      </c>
      <c r="N97" s="100"/>
      <c r="O97" s="100">
        <v>129606.84000000001</v>
      </c>
      <c r="P97" s="100">
        <v>128498.01105067533</v>
      </c>
      <c r="Q97" s="100">
        <v>109288.79082582692</v>
      </c>
      <c r="R97" s="100">
        <v>94259.520000000019</v>
      </c>
      <c r="S97" s="100">
        <v>549847.19999999995</v>
      </c>
      <c r="T97" s="100">
        <v>57227.880000000005</v>
      </c>
      <c r="U97" s="100">
        <v>4000.2668784374996</v>
      </c>
      <c r="V97" s="100">
        <v>77391.18919125</v>
      </c>
      <c r="W97" s="100">
        <v>4000.2668784374996</v>
      </c>
      <c r="X97" s="100">
        <v>77391.18919125</v>
      </c>
      <c r="Y97" s="100">
        <v>0</v>
      </c>
      <c r="Z97" s="100">
        <v>90916</v>
      </c>
      <c r="AA97" s="42"/>
      <c r="AB97" s="42"/>
      <c r="AC97" s="60"/>
      <c r="AD97" s="61"/>
      <c r="AE97" s="61"/>
      <c r="AF97" s="62"/>
      <c r="AG97" s="62"/>
      <c r="AH97" s="62"/>
      <c r="AI97" s="62"/>
      <c r="AJ97" s="62"/>
      <c r="AK97" s="62"/>
      <c r="AL97" s="62"/>
      <c r="AN97" s="27"/>
      <c r="AP97" s="55"/>
      <c r="AQ97" s="55"/>
      <c r="AR97" s="16"/>
      <c r="AS97" s="16"/>
      <c r="AT97" s="55"/>
      <c r="AU97" s="55"/>
      <c r="AV97" s="55"/>
      <c r="AW97" s="93"/>
      <c r="AX97" s="62"/>
      <c r="AY97" s="62"/>
      <c r="AZ97" s="16"/>
      <c r="BA97" s="16"/>
      <c r="BB97" s="55"/>
      <c r="BC97" s="55"/>
      <c r="BD97" s="55"/>
      <c r="BE97" s="55">
        <f t="shared" si="238"/>
        <v>0</v>
      </c>
      <c r="BF97" s="56"/>
      <c r="BG97" s="62"/>
      <c r="BH97" s="62"/>
      <c r="BI97" s="62"/>
      <c r="BJ97" s="55"/>
      <c r="BK97" s="55"/>
      <c r="BL97" s="55"/>
      <c r="BM97" s="55"/>
      <c r="BN97" s="67"/>
    </row>
    <row r="98" spans="2:66" x14ac:dyDescent="0.2">
      <c r="B98" s="118" t="s">
        <v>164</v>
      </c>
      <c r="C98" s="122"/>
      <c r="D98" s="123"/>
      <c r="E98" s="122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42"/>
      <c r="AB98" s="42"/>
      <c r="AC98" s="60"/>
      <c r="AD98" s="61"/>
      <c r="AE98" s="61"/>
      <c r="AF98" s="62"/>
      <c r="AG98" s="62"/>
      <c r="AH98" s="62"/>
      <c r="AI98" s="62"/>
      <c r="AJ98" s="62"/>
      <c r="AK98" s="62"/>
      <c r="AL98" s="62"/>
      <c r="AN98" s="27"/>
      <c r="AP98" s="55"/>
      <c r="AQ98" s="55"/>
      <c r="AR98" s="16"/>
      <c r="AS98" s="16"/>
      <c r="AT98" s="55"/>
      <c r="AU98" s="55"/>
      <c r="AV98" s="55"/>
      <c r="AW98" s="93"/>
      <c r="AX98" s="62"/>
      <c r="AY98" s="62"/>
      <c r="AZ98" s="16"/>
      <c r="BA98" s="16"/>
      <c r="BB98" s="55"/>
      <c r="BC98" s="55"/>
      <c r="BD98" s="55"/>
      <c r="BE98" s="55"/>
      <c r="BF98" s="56"/>
      <c r="BG98" s="62"/>
      <c r="BH98" s="62"/>
      <c r="BI98" s="62"/>
      <c r="BJ98" s="55"/>
      <c r="BK98" s="55"/>
      <c r="BL98" s="55"/>
      <c r="BM98" s="55"/>
      <c r="BN98" s="67"/>
    </row>
    <row r="99" spans="2:66" x14ac:dyDescent="0.2">
      <c r="B99" s="95" t="s">
        <v>137</v>
      </c>
      <c r="C99" s="64">
        <v>1</v>
      </c>
      <c r="D99" s="65">
        <v>80000</v>
      </c>
      <c r="E99" s="64"/>
      <c r="F99" s="65">
        <v>26400</v>
      </c>
      <c r="G99" s="65">
        <v>80000</v>
      </c>
      <c r="H99" s="65">
        <v>80000</v>
      </c>
      <c r="I99" s="65">
        <v>960000</v>
      </c>
      <c r="J99" s="65">
        <v>11792.366666666667</v>
      </c>
      <c r="K99" s="65">
        <v>2254.9872146118719</v>
      </c>
      <c r="L99" s="65">
        <v>14047.353881278539</v>
      </c>
      <c r="M99" s="65">
        <v>140473.53881278538</v>
      </c>
      <c r="N99" s="65">
        <v>39600</v>
      </c>
      <c r="O99" s="65">
        <v>39600</v>
      </c>
      <c r="P99" s="65">
        <v>46420.773796347057</v>
      </c>
      <c r="Q99" s="65">
        <v>20165.973968749997</v>
      </c>
      <c r="R99" s="65">
        <v>28800</v>
      </c>
      <c r="S99" s="65">
        <v>168000</v>
      </c>
      <c r="T99" s="65">
        <v>13588.199999999999</v>
      </c>
      <c r="U99" s="65">
        <v>478.50000000000006</v>
      </c>
      <c r="V99" s="65">
        <v>5742.0000000000009</v>
      </c>
      <c r="W99" s="65">
        <v>478.50000000000006</v>
      </c>
      <c r="X99" s="65">
        <v>5742.0000000000009</v>
      </c>
      <c r="Y99" s="65">
        <v>0</v>
      </c>
      <c r="Z99" s="65">
        <v>0</v>
      </c>
      <c r="AA99" s="3"/>
      <c r="AB99" s="42">
        <f>+G99/30</f>
        <v>2666.6666666666665</v>
      </c>
      <c r="AC99" s="60">
        <f>IF(((U99/30)&lt;$AH$4),0,((U99/30)-$AH$4))</f>
        <v>0</v>
      </c>
      <c r="AD99" s="61">
        <f>+AB99+AC99</f>
        <v>2666.6666666666665</v>
      </c>
      <c r="AE99" s="61">
        <f>IF((AD99*$AH$3)&gt;$AI$6,$AI$6,(AD99*$AH$3))</f>
        <v>1887.2499999999998</v>
      </c>
      <c r="AF99" s="62">
        <f>+$AL$1*$AL$2*$AF$9</f>
        <v>5620.9853999999996</v>
      </c>
      <c r="AG99" s="62">
        <f>+IF(AE99&gt;($AH$6*3),(AE99-($AH$6*3))*$AG$8,0)*$AG$9</f>
        <v>6668.0316999999986</v>
      </c>
      <c r="AH99" s="62">
        <f>+IF(AE99&gt;($AH$6*3),(AE99-($AH$6*3))*$AH$8,0)*$AH$9</f>
        <v>2424.7387999999996</v>
      </c>
      <c r="AI99" s="62">
        <f>+(AE99*$AI$9)*$AI$8</f>
        <v>5452.2180687499995</v>
      </c>
      <c r="AJ99" s="62">
        <f>+AF99+AG99+AI99</f>
        <v>17741.235168749998</v>
      </c>
      <c r="AK99" s="62">
        <f>+AH99</f>
        <v>2424.7387999999996</v>
      </c>
      <c r="AL99" s="62">
        <f>+AJ99+AK99</f>
        <v>20165.973968749997</v>
      </c>
      <c r="AN99" s="27">
        <f>+AT99*C99</f>
        <v>20977.1368</v>
      </c>
      <c r="AP99" s="66">
        <f t="shared" ref="AP99:AP103" si="242">+((M99/C99)-($AL$2*30))</f>
        <v>138208.83881278537</v>
      </c>
      <c r="AQ99" s="55">
        <f t="shared" ref="AQ99:AQ103" si="243">+AP99/365*30.4</f>
        <v>11511.092328516917</v>
      </c>
      <c r="AR99" s="16">
        <f t="shared" ref="AR99:AR103" si="244">+G99+U99+W99+AQ99</f>
        <v>92468.092328516912</v>
      </c>
      <c r="AS99" s="55">
        <f t="shared" ref="AS99:AS103" si="245">((AR99-VLOOKUP(AR99,$BO$17:$BR$39,1))*VLOOKUP(AR99,$BO$17:$BR$39,4)+VLOOKUP(AR99,$BO$17:$BR$39,3))-VLOOKUP(AR99,$BT$17:$BV$39,3)</f>
        <v>24843.38579169575</v>
      </c>
      <c r="AT99" s="55">
        <f t="shared" ref="AT99:AT103" si="246">(((G99+U99+W99)-VLOOKUP((G99+U99+W99),$BO$17:$BR$39,1))*VLOOKUP((G99+U99+W99),$BO$17:$BR$39,4)+VLOOKUP((G99+U99+W99),$BO$17:$BR$39,3))-VLOOKUP((G99+U99+W99),$BT$17:$BV$39,3)</f>
        <v>20977.1368</v>
      </c>
      <c r="AU99" s="55">
        <f t="shared" ref="AU99:AU103" si="247">+AS99-AT99</f>
        <v>3866.2489916957493</v>
      </c>
      <c r="AV99" s="16">
        <f t="shared" ref="AV99:AV103" si="248">+AR99+AQ99</f>
        <v>103979.18465703382</v>
      </c>
      <c r="AW99" s="56">
        <f t="shared" ref="AW99:AW103" si="249">+(AU99/AQ99)</f>
        <v>0.33587159944132555</v>
      </c>
      <c r="AX99" s="62">
        <f t="shared" ref="AX99:AX103" si="250">+AP99*AW99</f>
        <v>46420.423748978574</v>
      </c>
      <c r="AY99" s="62">
        <f t="shared" ref="AY99:AY103" si="251">+AX99*C99</f>
        <v>46420.423748978574</v>
      </c>
      <c r="AZ99" s="16"/>
      <c r="BA99" s="16">
        <f>+AP99+AR99</f>
        <v>230676.93114130228</v>
      </c>
      <c r="BB99" s="55">
        <f>((BA99-VLOOKUP(BA99,$BO$17:$BR$39,1))*VLOOKUP(BA99,$BO$17:$BR$39,4)+VLOOKUP(BA99,$BO$17:$BR$39,3))-VLOOKUP(BA99,$BT$17:$BV$39,3)</f>
        <v>71834.390988042782</v>
      </c>
      <c r="BC99" s="55">
        <f>+AT99</f>
        <v>20977.1368</v>
      </c>
      <c r="BD99" s="55">
        <f>+BB99-BC99</f>
        <v>50857.254188042782</v>
      </c>
      <c r="BE99" s="55">
        <f t="shared" ref="BE99:BE104" si="252">+BD99*C99</f>
        <v>50857.254188042782</v>
      </c>
      <c r="BF99" s="56"/>
      <c r="BG99" s="62">
        <f t="shared" ref="BG99:BG103" si="253">+(G99+U99+W99)*12</f>
        <v>971484</v>
      </c>
      <c r="BH99" s="62">
        <f>+AP99</f>
        <v>138208.83881278537</v>
      </c>
      <c r="BI99" s="62">
        <f t="shared" si="213"/>
        <v>1109692.8388127855</v>
      </c>
      <c r="BJ99" s="55">
        <f t="shared" si="214"/>
        <v>298146.41539634706</v>
      </c>
      <c r="BK99" s="55">
        <f>+AT99*12</f>
        <v>251725.6416</v>
      </c>
      <c r="BL99" s="55">
        <f t="shared" ref="BL99:BL103" si="254">+BJ99-BK99</f>
        <v>46420.773796347057</v>
      </c>
      <c r="BM99" s="55">
        <f t="shared" ref="BM99:BM103" si="255">+BL99*C99</f>
        <v>46420.773796347057</v>
      </c>
      <c r="BN99" s="67"/>
    </row>
    <row r="100" spans="2:66" x14ac:dyDescent="0.2">
      <c r="B100" s="95" t="s">
        <v>165</v>
      </c>
      <c r="C100" s="64">
        <v>1</v>
      </c>
      <c r="D100" s="65">
        <v>33058</v>
      </c>
      <c r="E100" s="64"/>
      <c r="F100" s="65">
        <v>10909.140000000001</v>
      </c>
      <c r="G100" s="65">
        <v>33058</v>
      </c>
      <c r="H100" s="65">
        <v>33058</v>
      </c>
      <c r="I100" s="65">
        <v>396696</v>
      </c>
      <c r="J100" s="65">
        <v>5022.0955847031955</v>
      </c>
      <c r="K100" s="65">
        <v>953.33108538812769</v>
      </c>
      <c r="L100" s="65">
        <v>5975.4266700913231</v>
      </c>
      <c r="M100" s="65">
        <v>59754.266700913227</v>
      </c>
      <c r="N100" s="65">
        <v>16363.710000000003</v>
      </c>
      <c r="O100" s="65">
        <v>16363.710000000003</v>
      </c>
      <c r="P100" s="65">
        <v>17246.903010273963</v>
      </c>
      <c r="Q100" s="65">
        <v>14986.399130000002</v>
      </c>
      <c r="R100" s="65">
        <v>11900.880000000001</v>
      </c>
      <c r="S100" s="65">
        <v>69421.799999999988</v>
      </c>
      <c r="T100" s="65">
        <v>7933.92</v>
      </c>
      <c r="U100" s="65">
        <v>709.85474999999997</v>
      </c>
      <c r="V100" s="65">
        <v>8518.2569999999996</v>
      </c>
      <c r="W100" s="65">
        <v>709.85474999999997</v>
      </c>
      <c r="X100" s="65">
        <v>8518.2569999999996</v>
      </c>
      <c r="Y100" s="65">
        <v>0</v>
      </c>
      <c r="Z100" s="65">
        <v>16529</v>
      </c>
      <c r="AA100" s="3"/>
      <c r="AB100" s="42">
        <f>+G100/30</f>
        <v>1101.9333333333334</v>
      </c>
      <c r="AC100" s="60">
        <f>IF(((U100/30)&lt;$AH$4),0,((U100/30)-$AH$4))</f>
        <v>0</v>
      </c>
      <c r="AD100" s="61">
        <f>+AB100+AC100</f>
        <v>1101.9333333333334</v>
      </c>
      <c r="AE100" s="61">
        <f>IF((AD100*$AH$3)&gt;$AI$6,$AI$6,(AD100*$AH$3))</f>
        <v>1267.9780821917809</v>
      </c>
      <c r="AF100" s="62">
        <f>+$AL$1*$AL$2*$AF$9</f>
        <v>5620.9853999999996</v>
      </c>
      <c r="AG100" s="62">
        <f>+IF(AE100&gt;($AH$6*3),(AE100-($AH$6*3))*$AG$8,0)*$AG$9</f>
        <v>4181.6549500000001</v>
      </c>
      <c r="AH100" s="62">
        <f>+IF(AE100&gt;($AH$6*3),(AE100-($AH$6*3))*$AH$8,0)*$AH$9</f>
        <v>1520.6017999999999</v>
      </c>
      <c r="AI100" s="62">
        <f>+(AE100*$AI$9)*$AI$8</f>
        <v>3663.1569800000007</v>
      </c>
      <c r="AJ100" s="62">
        <f>+AF100+AG100+AI100</f>
        <v>13465.797330000001</v>
      </c>
      <c r="AK100" s="62">
        <f>+AH100</f>
        <v>1520.6017999999999</v>
      </c>
      <c r="AL100" s="62">
        <f>+AJ100+AK100</f>
        <v>14986.399130000002</v>
      </c>
      <c r="AN100" s="27">
        <f>+AT100*C100</f>
        <v>6664.2108499999986</v>
      </c>
      <c r="AP100" s="66">
        <f t="shared" si="242"/>
        <v>57489.56670091323</v>
      </c>
      <c r="AQ100" s="55">
        <f t="shared" si="243"/>
        <v>4788.1721307061971</v>
      </c>
      <c r="AR100" s="16">
        <f t="shared" si="244"/>
        <v>39265.881630706193</v>
      </c>
      <c r="AS100" s="55">
        <f t="shared" si="245"/>
        <v>8100.662489211858</v>
      </c>
      <c r="AT100" s="55">
        <f t="shared" si="246"/>
        <v>6664.2108499999986</v>
      </c>
      <c r="AU100" s="55">
        <f t="shared" si="247"/>
        <v>1436.4516392118594</v>
      </c>
      <c r="AV100" s="16">
        <f t="shared" si="248"/>
        <v>44054.05376141239</v>
      </c>
      <c r="AW100" s="56">
        <f t="shared" si="249"/>
        <v>0.30000000000000004</v>
      </c>
      <c r="AX100" s="62">
        <f t="shared" si="250"/>
        <v>17246.870010273971</v>
      </c>
      <c r="AY100" s="62">
        <f t="shared" si="251"/>
        <v>17246.870010273971</v>
      </c>
      <c r="AZ100" s="16"/>
      <c r="BA100" s="16">
        <f>+AP100+AR100</f>
        <v>96755.448331619424</v>
      </c>
      <c r="BB100" s="55">
        <f>((BA100-VLOOKUP(BA100,$BO$17:$BR$39,1))*VLOOKUP(BA100,$BO$17:$BR$39,4)+VLOOKUP(BA100,$BO$17:$BR$39,3))-VLOOKUP(BA100,$BT$17:$BV$39,3)</f>
        <v>26301.086832750603</v>
      </c>
      <c r="BC100" s="55">
        <f>+AT100</f>
        <v>6664.2108499999986</v>
      </c>
      <c r="BD100" s="55">
        <f>+BB100-BC100</f>
        <v>19636.875982750604</v>
      </c>
      <c r="BE100" s="55">
        <f t="shared" si="252"/>
        <v>19636.875982750604</v>
      </c>
      <c r="BF100" s="56"/>
      <c r="BG100" s="62">
        <f t="shared" si="253"/>
        <v>413732.51399999997</v>
      </c>
      <c r="BH100" s="62">
        <f>+AP100</f>
        <v>57489.56670091323</v>
      </c>
      <c r="BI100" s="62">
        <f t="shared" si="213"/>
        <v>471222.08070091321</v>
      </c>
      <c r="BJ100" s="55">
        <f t="shared" si="214"/>
        <v>97217.433210273943</v>
      </c>
      <c r="BK100" s="55">
        <f>+AT100*12</f>
        <v>79970.530199999979</v>
      </c>
      <c r="BL100" s="55">
        <f t="shared" si="254"/>
        <v>17246.903010273963</v>
      </c>
      <c r="BM100" s="55">
        <f t="shared" si="255"/>
        <v>17246.903010273963</v>
      </c>
      <c r="BN100" s="67"/>
    </row>
    <row r="101" spans="2:66" x14ac:dyDescent="0.2">
      <c r="B101" s="95" t="s">
        <v>166</v>
      </c>
      <c r="C101" s="64">
        <v>1</v>
      </c>
      <c r="D101" s="65">
        <v>33058</v>
      </c>
      <c r="E101" s="64"/>
      <c r="F101" s="65">
        <v>10909.140000000001</v>
      </c>
      <c r="G101" s="65">
        <v>33058</v>
      </c>
      <c r="H101" s="65">
        <v>33058</v>
      </c>
      <c r="I101" s="65">
        <v>396696</v>
      </c>
      <c r="J101" s="65">
        <v>5022.0955847031955</v>
      </c>
      <c r="K101" s="65">
        <v>953.33108538812769</v>
      </c>
      <c r="L101" s="65">
        <v>5975.4266700913231</v>
      </c>
      <c r="M101" s="65">
        <v>59754.266700913227</v>
      </c>
      <c r="N101" s="65">
        <v>16363.710000000003</v>
      </c>
      <c r="O101" s="65">
        <v>16363.710000000003</v>
      </c>
      <c r="P101" s="65">
        <v>17246.903010273963</v>
      </c>
      <c r="Q101" s="65">
        <v>14986.399130000002</v>
      </c>
      <c r="R101" s="65">
        <v>11900.880000000001</v>
      </c>
      <c r="S101" s="65">
        <v>69421.799999999988</v>
      </c>
      <c r="T101" s="65">
        <v>7933.92</v>
      </c>
      <c r="U101" s="65">
        <v>709.85474999999997</v>
      </c>
      <c r="V101" s="65">
        <v>8518.2569999999996</v>
      </c>
      <c r="W101" s="65">
        <v>709.85474999999997</v>
      </c>
      <c r="X101" s="65">
        <v>8518.2569999999996</v>
      </c>
      <c r="Y101" s="65">
        <v>0</v>
      </c>
      <c r="Z101" s="65">
        <v>16529</v>
      </c>
      <c r="AA101" s="3"/>
      <c r="AB101" s="42">
        <f>+G101/30</f>
        <v>1101.9333333333334</v>
      </c>
      <c r="AC101" s="60">
        <f>IF(((U101/30)&lt;$AH$4),0,((U101/30)-$AH$4))</f>
        <v>0</v>
      </c>
      <c r="AD101" s="61">
        <f>+AB101+AC101</f>
        <v>1101.9333333333334</v>
      </c>
      <c r="AE101" s="61">
        <f>IF((AD101*$AH$3)&gt;$AI$6,$AI$6,(AD101*$AH$3))</f>
        <v>1267.9780821917809</v>
      </c>
      <c r="AF101" s="62">
        <f>+$AL$1*$AL$2*$AF$9</f>
        <v>5620.9853999999996</v>
      </c>
      <c r="AG101" s="62">
        <f>+IF(AE101&gt;($AH$6*3),(AE101-($AH$6*3))*$AG$8,0)*$AG$9</f>
        <v>4181.6549500000001</v>
      </c>
      <c r="AH101" s="62">
        <f>+IF(AE101&gt;($AH$6*3),(AE101-($AH$6*3))*$AH$8,0)*$AH$9</f>
        <v>1520.6017999999999</v>
      </c>
      <c r="AI101" s="62">
        <f>+(AE101*$AI$9)*$AI$8</f>
        <v>3663.1569800000007</v>
      </c>
      <c r="AJ101" s="62">
        <f>+AF101+AG101+AI101</f>
        <v>13465.797330000001</v>
      </c>
      <c r="AK101" s="62">
        <f>+AH101</f>
        <v>1520.6017999999999</v>
      </c>
      <c r="AL101" s="62">
        <f>+AJ101+AK101</f>
        <v>14986.399130000002</v>
      </c>
      <c r="AN101" s="27">
        <f>+AT101*C101</f>
        <v>6664.2108499999986</v>
      </c>
      <c r="AP101" s="66">
        <f t="shared" si="242"/>
        <v>57489.56670091323</v>
      </c>
      <c r="AQ101" s="55">
        <f t="shared" si="243"/>
        <v>4788.1721307061971</v>
      </c>
      <c r="AR101" s="16">
        <f t="shared" si="244"/>
        <v>39265.881630706193</v>
      </c>
      <c r="AS101" s="55">
        <f t="shared" si="245"/>
        <v>8100.662489211858</v>
      </c>
      <c r="AT101" s="55">
        <f t="shared" si="246"/>
        <v>6664.2108499999986</v>
      </c>
      <c r="AU101" s="55">
        <f t="shared" si="247"/>
        <v>1436.4516392118594</v>
      </c>
      <c r="AV101" s="16">
        <f t="shared" si="248"/>
        <v>44054.05376141239</v>
      </c>
      <c r="AW101" s="56">
        <f t="shared" si="249"/>
        <v>0.30000000000000004</v>
      </c>
      <c r="AX101" s="62">
        <f t="shared" si="250"/>
        <v>17246.870010273971</v>
      </c>
      <c r="AY101" s="62">
        <f t="shared" si="251"/>
        <v>17246.870010273971</v>
      </c>
      <c r="AZ101" s="16"/>
      <c r="BA101" s="16">
        <f>+AP101+AR101</f>
        <v>96755.448331619424</v>
      </c>
      <c r="BB101" s="55">
        <f>((BA101-VLOOKUP(BA101,$BO$17:$BR$39,1))*VLOOKUP(BA101,$BO$17:$BR$39,4)+VLOOKUP(BA101,$BO$17:$BR$39,3))-VLOOKUP(BA101,$BT$17:$BV$39,3)</f>
        <v>26301.086832750603</v>
      </c>
      <c r="BC101" s="55">
        <f>+AT101</f>
        <v>6664.2108499999986</v>
      </c>
      <c r="BD101" s="55">
        <f>+BB101-BC101</f>
        <v>19636.875982750604</v>
      </c>
      <c r="BE101" s="55">
        <f t="shared" si="252"/>
        <v>19636.875982750604</v>
      </c>
      <c r="BF101" s="56"/>
      <c r="BG101" s="62">
        <f t="shared" si="253"/>
        <v>413732.51399999997</v>
      </c>
      <c r="BH101" s="62">
        <f>+AP101</f>
        <v>57489.56670091323</v>
      </c>
      <c r="BI101" s="62">
        <f t="shared" si="213"/>
        <v>471222.08070091321</v>
      </c>
      <c r="BJ101" s="55">
        <f t="shared" si="214"/>
        <v>97217.433210273943</v>
      </c>
      <c r="BK101" s="55">
        <f>+AT101*12</f>
        <v>79970.530199999979</v>
      </c>
      <c r="BL101" s="55">
        <f t="shared" si="254"/>
        <v>17246.903010273963</v>
      </c>
      <c r="BM101" s="55">
        <f t="shared" si="255"/>
        <v>17246.903010273963</v>
      </c>
      <c r="BN101" s="67"/>
    </row>
    <row r="102" spans="2:66" x14ac:dyDescent="0.2">
      <c r="B102" s="95" t="s">
        <v>167</v>
      </c>
      <c r="C102" s="64">
        <v>4</v>
      </c>
      <c r="D102" s="65">
        <v>25429</v>
      </c>
      <c r="E102" s="64"/>
      <c r="F102" s="65">
        <v>8391.57</v>
      </c>
      <c r="G102" s="65">
        <v>25429</v>
      </c>
      <c r="H102" s="65">
        <v>101716</v>
      </c>
      <c r="I102" s="65">
        <v>1220592</v>
      </c>
      <c r="J102" s="65">
        <v>3941.8591004908681</v>
      </c>
      <c r="K102" s="65">
        <v>744.67984134703181</v>
      </c>
      <c r="L102" s="65">
        <v>18746.1557673516</v>
      </c>
      <c r="M102" s="65">
        <v>187461.55767351598</v>
      </c>
      <c r="N102" s="65">
        <v>12587.355</v>
      </c>
      <c r="O102" s="65">
        <v>50349.42</v>
      </c>
      <c r="P102" s="65">
        <v>41960.432092810923</v>
      </c>
      <c r="Q102" s="65">
        <v>50155.758559999995</v>
      </c>
      <c r="R102" s="65">
        <v>36617.760000000002</v>
      </c>
      <c r="S102" s="65">
        <v>213603.59999999998</v>
      </c>
      <c r="T102" s="65">
        <v>24411.84</v>
      </c>
      <c r="U102" s="65">
        <v>816.33296249999989</v>
      </c>
      <c r="V102" s="65">
        <v>39183.982199999999</v>
      </c>
      <c r="W102" s="65">
        <v>816.33296249999989</v>
      </c>
      <c r="X102" s="65">
        <v>39183.982199999999</v>
      </c>
      <c r="Y102" s="65">
        <v>0</v>
      </c>
      <c r="Z102" s="65">
        <v>50858</v>
      </c>
      <c r="AA102" s="3"/>
      <c r="AB102" s="42">
        <f>+G102/30</f>
        <v>847.63333333333333</v>
      </c>
      <c r="AC102" s="60">
        <f>IF(((U102/30)&lt;$AH$4),0,((U102/30)-$AH$4))</f>
        <v>0</v>
      </c>
      <c r="AD102" s="61">
        <f>+AB102+AC102</f>
        <v>847.63333333333333</v>
      </c>
      <c r="AE102" s="61">
        <f>IF((AD102*$AH$3)&gt;$AI$6,$AI$6,(AD102*$AH$3))</f>
        <v>975.35890410958893</v>
      </c>
      <c r="AF102" s="62">
        <f>+$AL$1*$AL$2*$AF$9</f>
        <v>5620.9853999999996</v>
      </c>
      <c r="AG102" s="62">
        <f>+IF(AE102&gt;($AH$6*3),(AE102-($AH$6*3))*$AG$8,0)*$AG$9</f>
        <v>3006.7889500000001</v>
      </c>
      <c r="AH102" s="62">
        <f>+IF(AE102&gt;($AH$6*3),(AE102-($AH$6*3))*$AH$8,0)*$AH$9</f>
        <v>1093.3778</v>
      </c>
      <c r="AI102" s="62">
        <f>+(AE102*$AI$9)*$AI$8</f>
        <v>2817.7874899999997</v>
      </c>
      <c r="AJ102" s="62">
        <f>+AF102+AG102+AI102</f>
        <v>11445.561839999998</v>
      </c>
      <c r="AK102" s="62">
        <f>+AH102</f>
        <v>1093.3778</v>
      </c>
      <c r="AL102" s="62">
        <f>+AJ102+AK102</f>
        <v>12538.939639999999</v>
      </c>
      <c r="AN102" s="27">
        <f>+AT102*C102</f>
        <v>19228.597062240002</v>
      </c>
      <c r="AP102" s="66">
        <f t="shared" si="242"/>
        <v>44600.689418378999</v>
      </c>
      <c r="AQ102" s="55">
        <f t="shared" si="243"/>
        <v>3714.6875570375933</v>
      </c>
      <c r="AR102" s="16">
        <f t="shared" si="244"/>
        <v>30776.353482037593</v>
      </c>
      <c r="AS102" s="55">
        <f t="shared" si="245"/>
        <v>5680.8437789752425</v>
      </c>
      <c r="AT102" s="55">
        <f t="shared" si="246"/>
        <v>4807.1492655600005</v>
      </c>
      <c r="AU102" s="55">
        <f t="shared" si="247"/>
        <v>873.694513415242</v>
      </c>
      <c r="AV102" s="16">
        <f t="shared" si="248"/>
        <v>34491.041039075186</v>
      </c>
      <c r="AW102" s="56">
        <f t="shared" si="249"/>
        <v>0.23520000000000002</v>
      </c>
      <c r="AX102" s="62">
        <f t="shared" si="250"/>
        <v>10490.082151202741</v>
      </c>
      <c r="AY102" s="62">
        <f t="shared" si="251"/>
        <v>41960.328604810966</v>
      </c>
      <c r="AZ102" s="16"/>
      <c r="BA102" s="16">
        <f>+AP102+AR102</f>
        <v>75377.042900416593</v>
      </c>
      <c r="BB102" s="55">
        <f>((BA102-VLOOKUP(BA102,$BO$17:$BR$39,1))*VLOOKUP(BA102,$BO$17:$BR$39,4)+VLOOKUP(BA102,$BO$17:$BR$39,3))-VLOOKUP(BA102,$BT$17:$BV$39,3)</f>
        <v>19191.55052813331</v>
      </c>
      <c r="BC102" s="55">
        <f>+AT102</f>
        <v>4807.1492655600005</v>
      </c>
      <c r="BD102" s="55">
        <f>+BB102-BC102</f>
        <v>14384.401262573308</v>
      </c>
      <c r="BE102" s="55">
        <f t="shared" si="252"/>
        <v>57537.605050293234</v>
      </c>
      <c r="BF102" s="56"/>
      <c r="BG102" s="62">
        <f t="shared" si="253"/>
        <v>324739.99109999998</v>
      </c>
      <c r="BH102" s="62">
        <f>+AP102</f>
        <v>44600.689418378999</v>
      </c>
      <c r="BI102" s="62">
        <f t="shared" si="213"/>
        <v>369340.68051837897</v>
      </c>
      <c r="BJ102" s="55">
        <f t="shared" si="214"/>
        <v>68175.899209922733</v>
      </c>
      <c r="BK102" s="55">
        <f>+AT102*12</f>
        <v>57685.791186720002</v>
      </c>
      <c r="BL102" s="55">
        <f t="shared" si="254"/>
        <v>10490.108023202731</v>
      </c>
      <c r="BM102" s="55">
        <f t="shared" si="255"/>
        <v>41960.432092810923</v>
      </c>
      <c r="BN102" s="67"/>
    </row>
    <row r="103" spans="2:66" x14ac:dyDescent="0.2">
      <c r="B103" s="95" t="s">
        <v>135</v>
      </c>
      <c r="C103" s="64">
        <v>1</v>
      </c>
      <c r="D103" s="65">
        <v>14000</v>
      </c>
      <c r="E103" s="64"/>
      <c r="F103" s="65">
        <v>4620</v>
      </c>
      <c r="G103" s="65">
        <v>14000</v>
      </c>
      <c r="H103" s="65">
        <v>14000</v>
      </c>
      <c r="I103" s="65">
        <v>168000</v>
      </c>
      <c r="J103" s="65">
        <v>2413.832044460331</v>
      </c>
      <c r="K103" s="65">
        <v>445.11719007591324</v>
      </c>
      <c r="L103" s="65">
        <v>2858.9492345362441</v>
      </c>
      <c r="M103" s="65">
        <v>28589.492345362443</v>
      </c>
      <c r="N103" s="65">
        <v>6930</v>
      </c>
      <c r="O103" s="65">
        <v>6930</v>
      </c>
      <c r="P103" s="65">
        <v>5622.9991409694267</v>
      </c>
      <c r="Q103" s="65">
        <v>8994.2600370769069</v>
      </c>
      <c r="R103" s="65">
        <v>5040</v>
      </c>
      <c r="S103" s="65">
        <v>29400</v>
      </c>
      <c r="T103" s="65">
        <v>3360</v>
      </c>
      <c r="U103" s="65">
        <v>1285.7244159375</v>
      </c>
      <c r="V103" s="65">
        <v>15428.69299125</v>
      </c>
      <c r="W103" s="65">
        <v>1285.7244159375</v>
      </c>
      <c r="X103" s="65">
        <v>15428.69299125</v>
      </c>
      <c r="Y103" s="65">
        <v>0</v>
      </c>
      <c r="Z103" s="65">
        <v>7000</v>
      </c>
      <c r="AA103" s="3"/>
      <c r="AB103" s="42">
        <f>+G103/30</f>
        <v>466.66666666666669</v>
      </c>
      <c r="AC103" s="60">
        <f>IF(((U103/30)&lt;$AH$4),0,((U103/30)-$AH$4))</f>
        <v>12.66148053125</v>
      </c>
      <c r="AD103" s="61">
        <f>+AB103+AC103</f>
        <v>479.32814719791668</v>
      </c>
      <c r="AE103" s="61">
        <f>IF((AD103*$AH$3)&gt;$AI$6,$AI$6,(AD103*$AH$3))</f>
        <v>551.5556762277397</v>
      </c>
      <c r="AF103" s="62">
        <f>+$AL$1*$AL$2*$AF$9</f>
        <v>5620.9853999999996</v>
      </c>
      <c r="AG103" s="62">
        <f>+IF(AE103&gt;($AH$6*3),(AE103-($AH$6*3))*$AG$8,0)*$AG$9</f>
        <v>1305.2189900543749</v>
      </c>
      <c r="AH103" s="62">
        <f>+IF(AE103&gt;($AH$6*3),(AE103-($AH$6*3))*$AH$8,0)*$AH$9</f>
        <v>474.62508729249998</v>
      </c>
      <c r="AI103" s="62">
        <f>+(AE103*$AI$9)*$AI$8</f>
        <v>1593.4305597300342</v>
      </c>
      <c r="AJ103" s="62">
        <f>+AF103+AG103+AI103</f>
        <v>8519.6349497844076</v>
      </c>
      <c r="AK103" s="62">
        <f>+AH103</f>
        <v>474.62508729249998</v>
      </c>
      <c r="AL103" s="62">
        <f>+AJ103+AK103</f>
        <v>8994.2600370769069</v>
      </c>
      <c r="AN103" s="27">
        <f>+AT103*C103</f>
        <v>2430.5417744884999</v>
      </c>
      <c r="AP103" s="66">
        <f t="shared" si="242"/>
        <v>26324.792345362443</v>
      </c>
      <c r="AQ103" s="55">
        <f t="shared" si="243"/>
        <v>2192.5306501342966</v>
      </c>
      <c r="AR103" s="16">
        <f t="shared" si="244"/>
        <v>18763.979482009297</v>
      </c>
      <c r="AS103" s="55">
        <f t="shared" si="245"/>
        <v>2898.8663213571858</v>
      </c>
      <c r="AT103" s="55">
        <f t="shared" si="246"/>
        <v>2430.5417744884999</v>
      </c>
      <c r="AU103" s="55">
        <f t="shared" si="247"/>
        <v>468.32454686868596</v>
      </c>
      <c r="AV103" s="16">
        <f t="shared" si="248"/>
        <v>20956.510132143594</v>
      </c>
      <c r="AW103" s="56">
        <f t="shared" si="249"/>
        <v>0.2136000000000001</v>
      </c>
      <c r="AX103" s="62">
        <f t="shared" si="250"/>
        <v>5622.9756449694205</v>
      </c>
      <c r="AY103" s="62">
        <f t="shared" si="251"/>
        <v>5622.9756449694205</v>
      </c>
      <c r="AZ103" s="16"/>
      <c r="BA103" s="16">
        <f>+AP103+AR103</f>
        <v>45088.77182737174</v>
      </c>
      <c r="BB103" s="55">
        <f>((BA103-VLOOKUP(BA103,$BO$17:$BR$39,1))*VLOOKUP(BA103,$BO$17:$BR$39,4)+VLOOKUP(BA103,$BO$17:$BR$39,3))-VLOOKUP(BA103,$BT$17:$BV$39,3)</f>
        <v>9847.5295482115216</v>
      </c>
      <c r="BC103" s="55">
        <f>+AT103</f>
        <v>2430.5417744884999</v>
      </c>
      <c r="BD103" s="55">
        <f>+BB103-BC103</f>
        <v>7416.9877737230217</v>
      </c>
      <c r="BE103" s="55">
        <f t="shared" si="252"/>
        <v>7416.9877737230217</v>
      </c>
      <c r="BF103" s="56"/>
      <c r="BG103" s="62">
        <f t="shared" si="253"/>
        <v>198857.38598250001</v>
      </c>
      <c r="BH103" s="62">
        <f>+AP103</f>
        <v>26324.792345362443</v>
      </c>
      <c r="BI103" s="62">
        <f t="shared" si="213"/>
        <v>225182.17832786246</v>
      </c>
      <c r="BJ103" s="55">
        <f t="shared" si="214"/>
        <v>34789.500434831425</v>
      </c>
      <c r="BK103" s="55">
        <f>+AT103*12</f>
        <v>29166.501293861998</v>
      </c>
      <c r="BL103" s="55">
        <f t="shared" si="254"/>
        <v>5622.9991409694267</v>
      </c>
      <c r="BM103" s="55">
        <f t="shared" si="255"/>
        <v>5622.9991409694267</v>
      </c>
      <c r="BN103" s="67"/>
    </row>
    <row r="104" spans="2:66" x14ac:dyDescent="0.2">
      <c r="B104" s="75" t="s">
        <v>91</v>
      </c>
      <c r="C104" s="76">
        <v>8</v>
      </c>
      <c r="D104" s="100">
        <v>185545</v>
      </c>
      <c r="E104" s="76"/>
      <c r="F104" s="100"/>
      <c r="G104" s="100">
        <v>185545</v>
      </c>
      <c r="H104" s="100">
        <v>261832</v>
      </c>
      <c r="I104" s="100">
        <v>3141984</v>
      </c>
      <c r="J104" s="100"/>
      <c r="K104" s="100"/>
      <c r="L104" s="100">
        <v>47603.312223349028</v>
      </c>
      <c r="M104" s="100">
        <v>476033.12223349023</v>
      </c>
      <c r="N104" s="100"/>
      <c r="O104" s="100">
        <v>129606.84000000001</v>
      </c>
      <c r="P104" s="100">
        <v>128498.01105067533</v>
      </c>
      <c r="Q104" s="100">
        <v>109288.79082582692</v>
      </c>
      <c r="R104" s="100">
        <v>94259.520000000019</v>
      </c>
      <c r="S104" s="100">
        <v>549847.19999999995</v>
      </c>
      <c r="T104" s="100">
        <v>57227.880000000005</v>
      </c>
      <c r="U104" s="100">
        <v>4000.2668784374996</v>
      </c>
      <c r="V104" s="100">
        <v>77391.18919125</v>
      </c>
      <c r="W104" s="100">
        <v>4000.2668784374996</v>
      </c>
      <c r="X104" s="100">
        <v>77391.18919125</v>
      </c>
      <c r="Y104" s="100">
        <v>0</v>
      </c>
      <c r="Z104" s="100">
        <v>90916</v>
      </c>
      <c r="AA104" s="42"/>
      <c r="AB104" s="42"/>
      <c r="AC104" s="60"/>
      <c r="AD104" s="61"/>
      <c r="AE104" s="61"/>
      <c r="AF104" s="62"/>
      <c r="AG104" s="62"/>
      <c r="AH104" s="62"/>
      <c r="AI104" s="62"/>
      <c r="AJ104" s="62"/>
      <c r="AK104" s="62"/>
      <c r="AL104" s="62"/>
      <c r="AN104" s="27"/>
      <c r="AP104" s="55"/>
      <c r="AQ104" s="55"/>
      <c r="AR104" s="16"/>
      <c r="AS104" s="16"/>
      <c r="AT104" s="55"/>
      <c r="AU104" s="55"/>
      <c r="AV104" s="55"/>
      <c r="AW104" s="93"/>
      <c r="AX104" s="62"/>
      <c r="AY104" s="62"/>
      <c r="AZ104" s="16"/>
      <c r="BA104" s="16"/>
      <c r="BB104" s="55"/>
      <c r="BC104" s="55"/>
      <c r="BD104" s="55"/>
      <c r="BE104" s="55">
        <f t="shared" si="252"/>
        <v>0</v>
      </c>
      <c r="BF104" s="56"/>
      <c r="BG104" s="62"/>
      <c r="BH104" s="62"/>
      <c r="BI104" s="62"/>
      <c r="BJ104" s="55"/>
      <c r="BK104" s="55"/>
      <c r="BL104" s="55"/>
      <c r="BM104" s="55"/>
      <c r="BN104" s="67"/>
    </row>
    <row r="105" spans="2:66" x14ac:dyDescent="0.2">
      <c r="B105" s="118" t="s">
        <v>168</v>
      </c>
      <c r="C105" s="122"/>
      <c r="D105" s="123"/>
      <c r="E105" s="122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42"/>
      <c r="AB105" s="42"/>
      <c r="AC105" s="60"/>
      <c r="AD105" s="61"/>
      <c r="AE105" s="61"/>
      <c r="AF105" s="62"/>
      <c r="AG105" s="62"/>
      <c r="AH105" s="62"/>
      <c r="AI105" s="62"/>
      <c r="AJ105" s="62"/>
      <c r="AK105" s="62"/>
      <c r="AL105" s="62"/>
      <c r="AN105" s="27"/>
      <c r="AP105" s="55"/>
      <c r="AQ105" s="55"/>
      <c r="AR105" s="16"/>
      <c r="AS105" s="16"/>
      <c r="AT105" s="55"/>
      <c r="AU105" s="55"/>
      <c r="AV105" s="55"/>
      <c r="AW105" s="93"/>
      <c r="AX105" s="62"/>
      <c r="AY105" s="62"/>
      <c r="AZ105" s="16"/>
      <c r="BA105" s="16"/>
      <c r="BB105" s="55"/>
      <c r="BC105" s="55"/>
      <c r="BD105" s="55"/>
      <c r="BE105" s="55"/>
      <c r="BF105" s="56"/>
      <c r="BG105" s="62"/>
      <c r="BH105" s="62"/>
      <c r="BI105" s="62"/>
      <c r="BJ105" s="55"/>
      <c r="BK105" s="55"/>
      <c r="BL105" s="55"/>
      <c r="BM105" s="55"/>
      <c r="BN105" s="67"/>
    </row>
    <row r="106" spans="2:66" x14ac:dyDescent="0.2">
      <c r="B106" s="95" t="s">
        <v>137</v>
      </c>
      <c r="C106" s="64">
        <v>1</v>
      </c>
      <c r="D106" s="65">
        <v>80000</v>
      </c>
      <c r="E106" s="64"/>
      <c r="F106" s="65">
        <v>26400</v>
      </c>
      <c r="G106" s="65">
        <v>80000</v>
      </c>
      <c r="H106" s="65">
        <v>80000</v>
      </c>
      <c r="I106" s="65">
        <v>960000</v>
      </c>
      <c r="J106" s="65">
        <v>11792.366666666667</v>
      </c>
      <c r="K106" s="65">
        <v>2254.9872146118719</v>
      </c>
      <c r="L106" s="65">
        <v>14047.353881278539</v>
      </c>
      <c r="M106" s="65">
        <v>140473.53881278538</v>
      </c>
      <c r="N106" s="65">
        <v>39600</v>
      </c>
      <c r="O106" s="65">
        <v>39600</v>
      </c>
      <c r="P106" s="65">
        <v>46420.773796347057</v>
      </c>
      <c r="Q106" s="65">
        <v>20165.973968749997</v>
      </c>
      <c r="R106" s="65">
        <v>28800</v>
      </c>
      <c r="S106" s="65">
        <v>168000</v>
      </c>
      <c r="T106" s="65">
        <v>13588.199999999999</v>
      </c>
      <c r="U106" s="65">
        <v>478.50000000000006</v>
      </c>
      <c r="V106" s="65">
        <v>5742.0000000000009</v>
      </c>
      <c r="W106" s="65">
        <v>478.50000000000006</v>
      </c>
      <c r="X106" s="65">
        <v>5742.0000000000009</v>
      </c>
      <c r="Y106" s="65">
        <v>0</v>
      </c>
      <c r="Z106" s="65">
        <v>0</v>
      </c>
      <c r="AA106" s="3"/>
      <c r="AB106" s="42">
        <f t="shared" ref="AB106:AB111" si="256">+G106/30</f>
        <v>2666.6666666666665</v>
      </c>
      <c r="AC106" s="60">
        <f t="shared" ref="AC106:AC111" si="257">IF(((U106/30)&lt;$AH$4),0,((U106/30)-$AH$4))</f>
        <v>0</v>
      </c>
      <c r="AD106" s="61">
        <f t="shared" ref="AD106:AD111" si="258">+AB106+AC106</f>
        <v>2666.6666666666665</v>
      </c>
      <c r="AE106" s="61">
        <f t="shared" ref="AE106:AE111" si="259">IF((AD106*$AH$3)&gt;$AI$6,$AI$6,(AD106*$AH$3))</f>
        <v>1887.2499999999998</v>
      </c>
      <c r="AF106" s="62">
        <f t="shared" ref="AF106:AF111" si="260">+$AL$1*$AL$2*$AF$9</f>
        <v>5620.9853999999996</v>
      </c>
      <c r="AG106" s="62">
        <f t="shared" ref="AG106:AG111" si="261">+IF(AE106&gt;($AH$6*3),(AE106-($AH$6*3))*$AG$8,0)*$AG$9</f>
        <v>6668.0316999999986</v>
      </c>
      <c r="AH106" s="62">
        <f t="shared" ref="AH106:AH111" si="262">+IF(AE106&gt;($AH$6*3),(AE106-($AH$6*3))*$AH$8,0)*$AH$9</f>
        <v>2424.7387999999996</v>
      </c>
      <c r="AI106" s="62">
        <f t="shared" ref="AI106:AI111" si="263">+(AE106*$AI$9)*$AI$8</f>
        <v>5452.2180687499995</v>
      </c>
      <c r="AJ106" s="62">
        <f t="shared" ref="AJ106:AJ111" si="264">+AF106+AG106+AI106</f>
        <v>17741.235168749998</v>
      </c>
      <c r="AK106" s="62">
        <f t="shared" ref="AK106:AK111" si="265">+AH106</f>
        <v>2424.7387999999996</v>
      </c>
      <c r="AL106" s="62">
        <f t="shared" ref="AL106:AL111" si="266">+AJ106+AK106</f>
        <v>20165.973968749997</v>
      </c>
      <c r="AN106" s="27">
        <f t="shared" ref="AN106:AN111" si="267">+AT106*C106</f>
        <v>20977.1368</v>
      </c>
      <c r="AP106" s="66">
        <f t="shared" ref="AP106:AP111" si="268">+((M106/C106)-($AL$2*30))</f>
        <v>138208.83881278537</v>
      </c>
      <c r="AQ106" s="55">
        <f t="shared" ref="AQ106:AQ111" si="269">+AP106/365*30.4</f>
        <v>11511.092328516917</v>
      </c>
      <c r="AR106" s="16">
        <f t="shared" ref="AR106:AR111" si="270">+G106+U106+W106+AQ106</f>
        <v>92468.092328516912</v>
      </c>
      <c r="AS106" s="55">
        <f t="shared" ref="AS106:AS111" si="271">((AR106-VLOOKUP(AR106,$BO$17:$BR$39,1))*VLOOKUP(AR106,$BO$17:$BR$39,4)+VLOOKUP(AR106,$BO$17:$BR$39,3))-VLOOKUP(AR106,$BT$17:$BV$39,3)</f>
        <v>24843.38579169575</v>
      </c>
      <c r="AT106" s="55">
        <f t="shared" ref="AT106:AT111" si="272">(((G106+U106+W106)-VLOOKUP((G106+U106+W106),$BO$17:$BR$39,1))*VLOOKUP((G106+U106+W106),$BO$17:$BR$39,4)+VLOOKUP((G106+U106+W106),$BO$17:$BR$39,3))-VLOOKUP((G106+U106+W106),$BT$17:$BV$39,3)</f>
        <v>20977.1368</v>
      </c>
      <c r="AU106" s="55">
        <f t="shared" ref="AU106:AU111" si="273">+AS106-AT106</f>
        <v>3866.2489916957493</v>
      </c>
      <c r="AV106" s="16">
        <f t="shared" ref="AV106:AV111" si="274">+AR106+AQ106</f>
        <v>103979.18465703382</v>
      </c>
      <c r="AW106" s="56">
        <f t="shared" ref="AW106:AW111" si="275">+(AU106/AQ106)</f>
        <v>0.33587159944132555</v>
      </c>
      <c r="AX106" s="62">
        <f t="shared" ref="AX106:AX111" si="276">+AP106*AW106</f>
        <v>46420.423748978574</v>
      </c>
      <c r="AY106" s="62">
        <f t="shared" ref="AY106:AY111" si="277">+AX106*C106</f>
        <v>46420.423748978574</v>
      </c>
      <c r="AZ106" s="16"/>
      <c r="BA106" s="16">
        <f t="shared" ref="BA106:BA111" si="278">+AP106+AR106</f>
        <v>230676.93114130228</v>
      </c>
      <c r="BB106" s="55">
        <f t="shared" ref="BB106:BB111" si="279">((BA106-VLOOKUP(BA106,$BO$17:$BR$39,1))*VLOOKUP(BA106,$BO$17:$BR$39,4)+VLOOKUP(BA106,$BO$17:$BR$39,3))-VLOOKUP(BA106,$BT$17:$BV$39,3)</f>
        <v>71834.390988042782</v>
      </c>
      <c r="BC106" s="55">
        <f t="shared" ref="BC106:BC111" si="280">+AT106</f>
        <v>20977.1368</v>
      </c>
      <c r="BD106" s="55">
        <f t="shared" ref="BD106:BD111" si="281">+BB106-BC106</f>
        <v>50857.254188042782</v>
      </c>
      <c r="BE106" s="55">
        <f t="shared" ref="BE106:BE112" si="282">+BD106*C106</f>
        <v>50857.254188042782</v>
      </c>
      <c r="BF106" s="56"/>
      <c r="BG106" s="62">
        <f t="shared" ref="BG106:BG111" si="283">+(G106+U106+W106)*12</f>
        <v>971484</v>
      </c>
      <c r="BH106" s="62">
        <f t="shared" ref="BH106:BH111" si="284">+AP106</f>
        <v>138208.83881278537</v>
      </c>
      <c r="BI106" s="62">
        <f t="shared" si="213"/>
        <v>1109692.8388127855</v>
      </c>
      <c r="BJ106" s="55">
        <f t="shared" si="214"/>
        <v>298146.41539634706</v>
      </c>
      <c r="BK106" s="55">
        <f t="shared" ref="BK106:BK111" si="285">+AT106*12</f>
        <v>251725.6416</v>
      </c>
      <c r="BL106" s="55">
        <f t="shared" ref="BL106:BL111" si="286">+BJ106-BK106</f>
        <v>46420.773796347057</v>
      </c>
      <c r="BM106" s="55">
        <f t="shared" ref="BM106:BM111" si="287">+BL106*C106</f>
        <v>46420.773796347057</v>
      </c>
      <c r="BN106" s="67"/>
    </row>
    <row r="107" spans="2:66" x14ac:dyDescent="0.2">
      <c r="B107" s="95" t="s">
        <v>169</v>
      </c>
      <c r="C107" s="64">
        <v>1</v>
      </c>
      <c r="D107" s="65">
        <v>33058</v>
      </c>
      <c r="E107" s="64"/>
      <c r="F107" s="65">
        <v>10909.140000000001</v>
      </c>
      <c r="G107" s="65">
        <v>33058</v>
      </c>
      <c r="H107" s="65">
        <v>33058</v>
      </c>
      <c r="I107" s="65">
        <v>396696</v>
      </c>
      <c r="J107" s="65">
        <v>5022.0955847031955</v>
      </c>
      <c r="K107" s="65">
        <v>953.33108538812769</v>
      </c>
      <c r="L107" s="65">
        <v>5975.4266700913231</v>
      </c>
      <c r="M107" s="65">
        <v>59754.266700913227</v>
      </c>
      <c r="N107" s="65">
        <v>16363.710000000003</v>
      </c>
      <c r="O107" s="65">
        <v>16363.710000000003</v>
      </c>
      <c r="P107" s="65">
        <v>17246.903010273963</v>
      </c>
      <c r="Q107" s="65">
        <v>14986.399130000002</v>
      </c>
      <c r="R107" s="65">
        <v>11900.880000000001</v>
      </c>
      <c r="S107" s="65">
        <v>69421.799999999988</v>
      </c>
      <c r="T107" s="65">
        <v>7933.92</v>
      </c>
      <c r="U107" s="65">
        <v>709.85474999999997</v>
      </c>
      <c r="V107" s="65">
        <v>8518.2569999999996</v>
      </c>
      <c r="W107" s="65">
        <v>709.85474999999997</v>
      </c>
      <c r="X107" s="65">
        <v>8518.2569999999996</v>
      </c>
      <c r="Y107" s="65">
        <v>0</v>
      </c>
      <c r="Z107" s="65">
        <v>16529</v>
      </c>
      <c r="AA107" s="3"/>
      <c r="AB107" s="42">
        <f t="shared" si="256"/>
        <v>1101.9333333333334</v>
      </c>
      <c r="AC107" s="60">
        <f t="shared" si="257"/>
        <v>0</v>
      </c>
      <c r="AD107" s="61">
        <f t="shared" si="258"/>
        <v>1101.9333333333334</v>
      </c>
      <c r="AE107" s="61">
        <f t="shared" si="259"/>
        <v>1267.9780821917809</v>
      </c>
      <c r="AF107" s="62">
        <f t="shared" si="260"/>
        <v>5620.9853999999996</v>
      </c>
      <c r="AG107" s="62">
        <f t="shared" si="261"/>
        <v>4181.6549500000001</v>
      </c>
      <c r="AH107" s="62">
        <f t="shared" si="262"/>
        <v>1520.6017999999999</v>
      </c>
      <c r="AI107" s="62">
        <f t="shared" si="263"/>
        <v>3663.1569800000007</v>
      </c>
      <c r="AJ107" s="62">
        <f t="shared" si="264"/>
        <v>13465.797330000001</v>
      </c>
      <c r="AK107" s="62">
        <f t="shared" si="265"/>
        <v>1520.6017999999999</v>
      </c>
      <c r="AL107" s="62">
        <f t="shared" si="266"/>
        <v>14986.399130000002</v>
      </c>
      <c r="AN107" s="27">
        <f t="shared" si="267"/>
        <v>6664.2108499999986</v>
      </c>
      <c r="AP107" s="66">
        <f t="shared" si="268"/>
        <v>57489.56670091323</v>
      </c>
      <c r="AQ107" s="55">
        <f t="shared" si="269"/>
        <v>4788.1721307061971</v>
      </c>
      <c r="AR107" s="16">
        <f t="shared" si="270"/>
        <v>39265.881630706193</v>
      </c>
      <c r="AS107" s="55">
        <f t="shared" si="271"/>
        <v>8100.662489211858</v>
      </c>
      <c r="AT107" s="55">
        <f t="shared" si="272"/>
        <v>6664.2108499999986</v>
      </c>
      <c r="AU107" s="55">
        <f t="shared" si="273"/>
        <v>1436.4516392118594</v>
      </c>
      <c r="AV107" s="16">
        <f t="shared" si="274"/>
        <v>44054.05376141239</v>
      </c>
      <c r="AW107" s="56">
        <f t="shared" si="275"/>
        <v>0.30000000000000004</v>
      </c>
      <c r="AX107" s="62">
        <f t="shared" si="276"/>
        <v>17246.870010273971</v>
      </c>
      <c r="AY107" s="62">
        <f t="shared" si="277"/>
        <v>17246.870010273971</v>
      </c>
      <c r="AZ107" s="16"/>
      <c r="BA107" s="16">
        <f t="shared" si="278"/>
        <v>96755.448331619424</v>
      </c>
      <c r="BB107" s="55">
        <f t="shared" si="279"/>
        <v>26301.086832750603</v>
      </c>
      <c r="BC107" s="55">
        <f t="shared" si="280"/>
        <v>6664.2108499999986</v>
      </c>
      <c r="BD107" s="55">
        <f t="shared" si="281"/>
        <v>19636.875982750604</v>
      </c>
      <c r="BE107" s="55">
        <f t="shared" si="282"/>
        <v>19636.875982750604</v>
      </c>
      <c r="BF107" s="56"/>
      <c r="BG107" s="62">
        <f t="shared" si="283"/>
        <v>413732.51399999997</v>
      </c>
      <c r="BH107" s="62">
        <f t="shared" si="284"/>
        <v>57489.56670091323</v>
      </c>
      <c r="BI107" s="62">
        <f t="shared" si="213"/>
        <v>471222.08070091321</v>
      </c>
      <c r="BJ107" s="55">
        <f t="shared" si="214"/>
        <v>97217.433210273943</v>
      </c>
      <c r="BK107" s="55">
        <f t="shared" si="285"/>
        <v>79970.530199999979</v>
      </c>
      <c r="BL107" s="55">
        <f t="shared" si="286"/>
        <v>17246.903010273963</v>
      </c>
      <c r="BM107" s="55">
        <f t="shared" si="287"/>
        <v>17246.903010273963</v>
      </c>
      <c r="BN107" s="67"/>
    </row>
    <row r="108" spans="2:66" x14ac:dyDescent="0.2">
      <c r="B108" s="95" t="s">
        <v>170</v>
      </c>
      <c r="C108" s="64">
        <v>1</v>
      </c>
      <c r="D108" s="65">
        <v>33058</v>
      </c>
      <c r="E108" s="64"/>
      <c r="F108" s="65">
        <v>10909.140000000001</v>
      </c>
      <c r="G108" s="65">
        <v>33058</v>
      </c>
      <c r="H108" s="65">
        <v>33058</v>
      </c>
      <c r="I108" s="65">
        <v>396696</v>
      </c>
      <c r="J108" s="65">
        <v>5022.0955847031955</v>
      </c>
      <c r="K108" s="65">
        <v>953.33108538812769</v>
      </c>
      <c r="L108" s="65">
        <v>5975.4266700913231</v>
      </c>
      <c r="M108" s="65">
        <v>59754.266700913227</v>
      </c>
      <c r="N108" s="65">
        <v>16363.710000000003</v>
      </c>
      <c r="O108" s="65">
        <v>16363.710000000003</v>
      </c>
      <c r="P108" s="65">
        <v>17246.903010273963</v>
      </c>
      <c r="Q108" s="65">
        <v>14986.399130000002</v>
      </c>
      <c r="R108" s="65">
        <v>11900.880000000001</v>
      </c>
      <c r="S108" s="65">
        <v>69421.799999999988</v>
      </c>
      <c r="T108" s="65">
        <v>7933.92</v>
      </c>
      <c r="U108" s="65">
        <v>709.85474999999997</v>
      </c>
      <c r="V108" s="65">
        <v>8518.2569999999996</v>
      </c>
      <c r="W108" s="65">
        <v>709.85474999999997</v>
      </c>
      <c r="X108" s="65">
        <v>8518.2569999999996</v>
      </c>
      <c r="Y108" s="65">
        <v>0</v>
      </c>
      <c r="Z108" s="65">
        <v>16529</v>
      </c>
      <c r="AA108" s="3"/>
      <c r="AB108" s="42">
        <f t="shared" si="256"/>
        <v>1101.9333333333334</v>
      </c>
      <c r="AC108" s="60">
        <f t="shared" si="257"/>
        <v>0</v>
      </c>
      <c r="AD108" s="61">
        <f t="shared" si="258"/>
        <v>1101.9333333333334</v>
      </c>
      <c r="AE108" s="61">
        <f t="shared" si="259"/>
        <v>1267.9780821917809</v>
      </c>
      <c r="AF108" s="62">
        <f t="shared" si="260"/>
        <v>5620.9853999999996</v>
      </c>
      <c r="AG108" s="62">
        <f t="shared" si="261"/>
        <v>4181.6549500000001</v>
      </c>
      <c r="AH108" s="62">
        <f t="shared" si="262"/>
        <v>1520.6017999999999</v>
      </c>
      <c r="AI108" s="62">
        <f t="shared" si="263"/>
        <v>3663.1569800000007</v>
      </c>
      <c r="AJ108" s="62">
        <f t="shared" si="264"/>
        <v>13465.797330000001</v>
      </c>
      <c r="AK108" s="62">
        <f t="shared" si="265"/>
        <v>1520.6017999999999</v>
      </c>
      <c r="AL108" s="62">
        <f t="shared" si="266"/>
        <v>14986.399130000002</v>
      </c>
      <c r="AN108" s="27">
        <f t="shared" si="267"/>
        <v>6664.2108499999986</v>
      </c>
      <c r="AP108" s="66">
        <f t="shared" si="268"/>
        <v>57489.56670091323</v>
      </c>
      <c r="AQ108" s="55">
        <f t="shared" si="269"/>
        <v>4788.1721307061971</v>
      </c>
      <c r="AR108" s="16">
        <f t="shared" si="270"/>
        <v>39265.881630706193</v>
      </c>
      <c r="AS108" s="55">
        <f t="shared" si="271"/>
        <v>8100.662489211858</v>
      </c>
      <c r="AT108" s="55">
        <f t="shared" si="272"/>
        <v>6664.2108499999986</v>
      </c>
      <c r="AU108" s="55">
        <f t="shared" si="273"/>
        <v>1436.4516392118594</v>
      </c>
      <c r="AV108" s="16">
        <f t="shared" si="274"/>
        <v>44054.05376141239</v>
      </c>
      <c r="AW108" s="56">
        <f t="shared" si="275"/>
        <v>0.30000000000000004</v>
      </c>
      <c r="AX108" s="62">
        <f t="shared" si="276"/>
        <v>17246.870010273971</v>
      </c>
      <c r="AY108" s="62">
        <f t="shared" si="277"/>
        <v>17246.870010273971</v>
      </c>
      <c r="AZ108" s="16"/>
      <c r="BA108" s="16">
        <f t="shared" si="278"/>
        <v>96755.448331619424</v>
      </c>
      <c r="BB108" s="55">
        <f t="shared" si="279"/>
        <v>26301.086832750603</v>
      </c>
      <c r="BC108" s="55">
        <f t="shared" si="280"/>
        <v>6664.2108499999986</v>
      </c>
      <c r="BD108" s="55">
        <f t="shared" si="281"/>
        <v>19636.875982750604</v>
      </c>
      <c r="BE108" s="55">
        <f t="shared" si="282"/>
        <v>19636.875982750604</v>
      </c>
      <c r="BF108" s="56"/>
      <c r="BG108" s="62">
        <f t="shared" si="283"/>
        <v>413732.51399999997</v>
      </c>
      <c r="BH108" s="62">
        <f t="shared" si="284"/>
        <v>57489.56670091323</v>
      </c>
      <c r="BI108" s="62">
        <f t="shared" si="213"/>
        <v>471222.08070091321</v>
      </c>
      <c r="BJ108" s="55">
        <f t="shared" si="214"/>
        <v>97217.433210273943</v>
      </c>
      <c r="BK108" s="55">
        <f t="shared" si="285"/>
        <v>79970.530199999979</v>
      </c>
      <c r="BL108" s="55">
        <f t="shared" si="286"/>
        <v>17246.903010273963</v>
      </c>
      <c r="BM108" s="55">
        <f t="shared" si="287"/>
        <v>17246.903010273963</v>
      </c>
      <c r="BN108" s="67"/>
    </row>
    <row r="109" spans="2:66" x14ac:dyDescent="0.2">
      <c r="B109" s="95" t="s">
        <v>171</v>
      </c>
      <c r="C109" s="64">
        <v>1</v>
      </c>
      <c r="D109" s="65">
        <v>33058</v>
      </c>
      <c r="E109" s="64"/>
      <c r="F109" s="65">
        <v>10909.140000000001</v>
      </c>
      <c r="G109" s="65">
        <v>33058</v>
      </c>
      <c r="H109" s="65">
        <v>33058</v>
      </c>
      <c r="I109" s="65">
        <v>396696</v>
      </c>
      <c r="J109" s="65">
        <v>5022.0955847031955</v>
      </c>
      <c r="K109" s="65">
        <v>953.33108538812769</v>
      </c>
      <c r="L109" s="65">
        <v>5975.4266700913231</v>
      </c>
      <c r="M109" s="65">
        <v>59754.266700913227</v>
      </c>
      <c r="N109" s="65">
        <v>16363.710000000003</v>
      </c>
      <c r="O109" s="65">
        <v>16363.710000000003</v>
      </c>
      <c r="P109" s="65">
        <v>17246.903010273963</v>
      </c>
      <c r="Q109" s="65">
        <v>14986.399130000002</v>
      </c>
      <c r="R109" s="65">
        <v>11900.880000000001</v>
      </c>
      <c r="S109" s="65">
        <v>69421.799999999988</v>
      </c>
      <c r="T109" s="65">
        <v>7933.92</v>
      </c>
      <c r="U109" s="65">
        <v>709.85474999999997</v>
      </c>
      <c r="V109" s="65">
        <v>8518.2569999999996</v>
      </c>
      <c r="W109" s="65">
        <v>709.85474999999997</v>
      </c>
      <c r="X109" s="65">
        <v>8518.2569999999996</v>
      </c>
      <c r="Y109" s="65">
        <v>0</v>
      </c>
      <c r="Z109" s="65">
        <v>16529</v>
      </c>
      <c r="AA109" s="3"/>
      <c r="AB109" s="42">
        <f t="shared" si="256"/>
        <v>1101.9333333333334</v>
      </c>
      <c r="AC109" s="60">
        <f t="shared" si="257"/>
        <v>0</v>
      </c>
      <c r="AD109" s="61">
        <f t="shared" si="258"/>
        <v>1101.9333333333334</v>
      </c>
      <c r="AE109" s="61">
        <f t="shared" si="259"/>
        <v>1267.9780821917809</v>
      </c>
      <c r="AF109" s="62">
        <f t="shared" si="260"/>
        <v>5620.9853999999996</v>
      </c>
      <c r="AG109" s="62">
        <f t="shared" si="261"/>
        <v>4181.6549500000001</v>
      </c>
      <c r="AH109" s="62">
        <f t="shared" si="262"/>
        <v>1520.6017999999999</v>
      </c>
      <c r="AI109" s="62">
        <f t="shared" si="263"/>
        <v>3663.1569800000007</v>
      </c>
      <c r="AJ109" s="62">
        <f t="shared" si="264"/>
        <v>13465.797330000001</v>
      </c>
      <c r="AK109" s="62">
        <f t="shared" si="265"/>
        <v>1520.6017999999999</v>
      </c>
      <c r="AL109" s="62">
        <f t="shared" si="266"/>
        <v>14986.399130000002</v>
      </c>
      <c r="AN109" s="27">
        <f t="shared" si="267"/>
        <v>6664.2108499999986</v>
      </c>
      <c r="AP109" s="66">
        <f t="shared" si="268"/>
        <v>57489.56670091323</v>
      </c>
      <c r="AQ109" s="55">
        <f t="shared" si="269"/>
        <v>4788.1721307061971</v>
      </c>
      <c r="AR109" s="16">
        <f t="shared" si="270"/>
        <v>39265.881630706193</v>
      </c>
      <c r="AS109" s="55">
        <f t="shared" si="271"/>
        <v>8100.662489211858</v>
      </c>
      <c r="AT109" s="55">
        <f t="shared" si="272"/>
        <v>6664.2108499999986</v>
      </c>
      <c r="AU109" s="55">
        <f t="shared" si="273"/>
        <v>1436.4516392118594</v>
      </c>
      <c r="AV109" s="16">
        <f t="shared" si="274"/>
        <v>44054.05376141239</v>
      </c>
      <c r="AW109" s="56">
        <f t="shared" si="275"/>
        <v>0.30000000000000004</v>
      </c>
      <c r="AX109" s="62">
        <f t="shared" si="276"/>
        <v>17246.870010273971</v>
      </c>
      <c r="AY109" s="62">
        <f t="shared" si="277"/>
        <v>17246.870010273971</v>
      </c>
      <c r="AZ109" s="16"/>
      <c r="BA109" s="16">
        <f t="shared" si="278"/>
        <v>96755.448331619424</v>
      </c>
      <c r="BB109" s="55">
        <f t="shared" si="279"/>
        <v>26301.086832750603</v>
      </c>
      <c r="BC109" s="55">
        <f t="shared" si="280"/>
        <v>6664.2108499999986</v>
      </c>
      <c r="BD109" s="55">
        <f t="shared" si="281"/>
        <v>19636.875982750604</v>
      </c>
      <c r="BE109" s="55">
        <f t="shared" si="282"/>
        <v>19636.875982750604</v>
      </c>
      <c r="BF109" s="56"/>
      <c r="BG109" s="62">
        <f t="shared" si="283"/>
        <v>413732.51399999997</v>
      </c>
      <c r="BH109" s="62">
        <f t="shared" si="284"/>
        <v>57489.56670091323</v>
      </c>
      <c r="BI109" s="62">
        <f t="shared" si="213"/>
        <v>471222.08070091321</v>
      </c>
      <c r="BJ109" s="55">
        <f t="shared" si="214"/>
        <v>97217.433210273943</v>
      </c>
      <c r="BK109" s="55">
        <f t="shared" si="285"/>
        <v>79970.530199999979</v>
      </c>
      <c r="BL109" s="55">
        <f t="shared" si="286"/>
        <v>17246.903010273963</v>
      </c>
      <c r="BM109" s="55">
        <f t="shared" si="287"/>
        <v>17246.903010273963</v>
      </c>
      <c r="BN109" s="67"/>
    </row>
    <row r="110" spans="2:66" x14ac:dyDescent="0.2">
      <c r="B110" s="95" t="s">
        <v>172</v>
      </c>
      <c r="C110" s="64">
        <v>4</v>
      </c>
      <c r="D110" s="65">
        <v>25429</v>
      </c>
      <c r="E110" s="64"/>
      <c r="F110" s="65">
        <v>8391.57</v>
      </c>
      <c r="G110" s="65">
        <v>25429</v>
      </c>
      <c r="H110" s="65">
        <v>101716</v>
      </c>
      <c r="I110" s="65">
        <v>1220592</v>
      </c>
      <c r="J110" s="65">
        <v>3941.8591004908681</v>
      </c>
      <c r="K110" s="65">
        <v>744.67984134703181</v>
      </c>
      <c r="L110" s="65">
        <v>18746.1557673516</v>
      </c>
      <c r="M110" s="65">
        <v>187461.55767351598</v>
      </c>
      <c r="N110" s="65">
        <v>12587.355</v>
      </c>
      <c r="O110" s="65">
        <v>50349.42</v>
      </c>
      <c r="P110" s="65">
        <v>41960.432092810923</v>
      </c>
      <c r="Q110" s="65">
        <v>50155.758559999995</v>
      </c>
      <c r="R110" s="65">
        <v>36617.760000000002</v>
      </c>
      <c r="S110" s="65">
        <v>213603.59999999998</v>
      </c>
      <c r="T110" s="65">
        <v>24411.84</v>
      </c>
      <c r="U110" s="65">
        <v>816.33296249999989</v>
      </c>
      <c r="V110" s="65">
        <v>39183.982199999999</v>
      </c>
      <c r="W110" s="65">
        <v>816.33296249999989</v>
      </c>
      <c r="X110" s="65">
        <v>39183.982199999999</v>
      </c>
      <c r="Y110" s="65">
        <v>0</v>
      </c>
      <c r="Z110" s="65">
        <v>50858</v>
      </c>
      <c r="AA110" s="3"/>
      <c r="AB110" s="42">
        <f t="shared" si="256"/>
        <v>847.63333333333333</v>
      </c>
      <c r="AC110" s="60">
        <f t="shared" si="257"/>
        <v>0</v>
      </c>
      <c r="AD110" s="61">
        <f t="shared" si="258"/>
        <v>847.63333333333333</v>
      </c>
      <c r="AE110" s="61">
        <f t="shared" si="259"/>
        <v>975.35890410958893</v>
      </c>
      <c r="AF110" s="62">
        <f t="shared" si="260"/>
        <v>5620.9853999999996</v>
      </c>
      <c r="AG110" s="62">
        <f t="shared" si="261"/>
        <v>3006.7889500000001</v>
      </c>
      <c r="AH110" s="62">
        <f t="shared" si="262"/>
        <v>1093.3778</v>
      </c>
      <c r="AI110" s="62">
        <f t="shared" si="263"/>
        <v>2817.7874899999997</v>
      </c>
      <c r="AJ110" s="62">
        <f t="shared" si="264"/>
        <v>11445.561839999998</v>
      </c>
      <c r="AK110" s="62">
        <f t="shared" si="265"/>
        <v>1093.3778</v>
      </c>
      <c r="AL110" s="62">
        <f t="shared" si="266"/>
        <v>12538.939639999999</v>
      </c>
      <c r="AN110" s="27">
        <f t="shared" si="267"/>
        <v>19228.597062240002</v>
      </c>
      <c r="AP110" s="66">
        <f t="shared" si="268"/>
        <v>44600.689418378999</v>
      </c>
      <c r="AQ110" s="55">
        <f t="shared" si="269"/>
        <v>3714.6875570375933</v>
      </c>
      <c r="AR110" s="16">
        <f t="shared" si="270"/>
        <v>30776.353482037593</v>
      </c>
      <c r="AS110" s="55">
        <f t="shared" si="271"/>
        <v>5680.8437789752425</v>
      </c>
      <c r="AT110" s="55">
        <f t="shared" si="272"/>
        <v>4807.1492655600005</v>
      </c>
      <c r="AU110" s="55">
        <f t="shared" si="273"/>
        <v>873.694513415242</v>
      </c>
      <c r="AV110" s="16">
        <f t="shared" si="274"/>
        <v>34491.041039075186</v>
      </c>
      <c r="AW110" s="56">
        <f t="shared" si="275"/>
        <v>0.23520000000000002</v>
      </c>
      <c r="AX110" s="62">
        <f t="shared" si="276"/>
        <v>10490.082151202741</v>
      </c>
      <c r="AY110" s="62">
        <f t="shared" si="277"/>
        <v>41960.328604810966</v>
      </c>
      <c r="AZ110" s="16"/>
      <c r="BA110" s="16">
        <f t="shared" si="278"/>
        <v>75377.042900416593</v>
      </c>
      <c r="BB110" s="55">
        <f t="shared" si="279"/>
        <v>19191.55052813331</v>
      </c>
      <c r="BC110" s="55">
        <f t="shared" si="280"/>
        <v>4807.1492655600005</v>
      </c>
      <c r="BD110" s="55">
        <f t="shared" si="281"/>
        <v>14384.401262573308</v>
      </c>
      <c r="BE110" s="55">
        <f t="shared" si="282"/>
        <v>57537.605050293234</v>
      </c>
      <c r="BF110" s="56"/>
      <c r="BG110" s="62">
        <f t="shared" si="283"/>
        <v>324739.99109999998</v>
      </c>
      <c r="BH110" s="62">
        <f t="shared" si="284"/>
        <v>44600.689418378999</v>
      </c>
      <c r="BI110" s="62">
        <f t="shared" si="213"/>
        <v>369340.68051837897</v>
      </c>
      <c r="BJ110" s="55">
        <f t="shared" si="214"/>
        <v>68175.899209922733</v>
      </c>
      <c r="BK110" s="55">
        <f t="shared" si="285"/>
        <v>57685.791186720002</v>
      </c>
      <c r="BL110" s="55">
        <f t="shared" si="286"/>
        <v>10490.108023202731</v>
      </c>
      <c r="BM110" s="55">
        <f t="shared" si="287"/>
        <v>41960.432092810923</v>
      </c>
      <c r="BN110" s="67"/>
    </row>
    <row r="111" spans="2:66" x14ac:dyDescent="0.2">
      <c r="B111" s="95" t="s">
        <v>135</v>
      </c>
      <c r="C111" s="64">
        <v>1</v>
      </c>
      <c r="D111" s="65">
        <v>14000</v>
      </c>
      <c r="E111" s="64"/>
      <c r="F111" s="65">
        <v>4620</v>
      </c>
      <c r="G111" s="65">
        <v>14000</v>
      </c>
      <c r="H111" s="65">
        <v>14000</v>
      </c>
      <c r="I111" s="65">
        <v>168000</v>
      </c>
      <c r="J111" s="65">
        <v>2413.832044460331</v>
      </c>
      <c r="K111" s="65">
        <v>445.11719007591324</v>
      </c>
      <c r="L111" s="65">
        <v>2858.9492345362441</v>
      </c>
      <c r="M111" s="65">
        <v>28589.492345362443</v>
      </c>
      <c r="N111" s="65">
        <v>6930</v>
      </c>
      <c r="O111" s="65">
        <v>6930</v>
      </c>
      <c r="P111" s="65">
        <v>5622.9991409694267</v>
      </c>
      <c r="Q111" s="65">
        <v>8994.2600370769069</v>
      </c>
      <c r="R111" s="65">
        <v>5040</v>
      </c>
      <c r="S111" s="65">
        <v>29400</v>
      </c>
      <c r="T111" s="65">
        <v>3360</v>
      </c>
      <c r="U111" s="65">
        <v>1285.7244159375</v>
      </c>
      <c r="V111" s="65">
        <v>15428.69299125</v>
      </c>
      <c r="W111" s="65">
        <v>1285.7244159375</v>
      </c>
      <c r="X111" s="65">
        <v>15428.69299125</v>
      </c>
      <c r="Y111" s="65">
        <v>0</v>
      </c>
      <c r="Z111" s="65">
        <v>7000</v>
      </c>
      <c r="AA111" s="3"/>
      <c r="AB111" s="42">
        <f t="shared" si="256"/>
        <v>466.66666666666669</v>
      </c>
      <c r="AC111" s="60">
        <f t="shared" si="257"/>
        <v>12.66148053125</v>
      </c>
      <c r="AD111" s="61">
        <f t="shared" si="258"/>
        <v>479.32814719791668</v>
      </c>
      <c r="AE111" s="61">
        <f t="shared" si="259"/>
        <v>551.5556762277397</v>
      </c>
      <c r="AF111" s="62">
        <f t="shared" si="260"/>
        <v>5620.9853999999996</v>
      </c>
      <c r="AG111" s="62">
        <f t="shared" si="261"/>
        <v>1305.2189900543749</v>
      </c>
      <c r="AH111" s="62">
        <f t="shared" si="262"/>
        <v>474.62508729249998</v>
      </c>
      <c r="AI111" s="62">
        <f t="shared" si="263"/>
        <v>1593.4305597300342</v>
      </c>
      <c r="AJ111" s="62">
        <f t="shared" si="264"/>
        <v>8519.6349497844076</v>
      </c>
      <c r="AK111" s="62">
        <f t="shared" si="265"/>
        <v>474.62508729249998</v>
      </c>
      <c r="AL111" s="62">
        <f t="shared" si="266"/>
        <v>8994.2600370769069</v>
      </c>
      <c r="AN111" s="27">
        <f t="shared" si="267"/>
        <v>2430.5417744884999</v>
      </c>
      <c r="AP111" s="66">
        <f t="shared" si="268"/>
        <v>26324.792345362443</v>
      </c>
      <c r="AQ111" s="55">
        <f t="shared" si="269"/>
        <v>2192.5306501342966</v>
      </c>
      <c r="AR111" s="16">
        <f t="shared" si="270"/>
        <v>18763.979482009297</v>
      </c>
      <c r="AS111" s="55">
        <f t="shared" si="271"/>
        <v>2898.8663213571858</v>
      </c>
      <c r="AT111" s="55">
        <f t="shared" si="272"/>
        <v>2430.5417744884999</v>
      </c>
      <c r="AU111" s="55">
        <f t="shared" si="273"/>
        <v>468.32454686868596</v>
      </c>
      <c r="AV111" s="16">
        <f t="shared" si="274"/>
        <v>20956.510132143594</v>
      </c>
      <c r="AW111" s="56">
        <f t="shared" si="275"/>
        <v>0.2136000000000001</v>
      </c>
      <c r="AX111" s="62">
        <f t="shared" si="276"/>
        <v>5622.9756449694205</v>
      </c>
      <c r="AY111" s="62">
        <f t="shared" si="277"/>
        <v>5622.9756449694205</v>
      </c>
      <c r="AZ111" s="16"/>
      <c r="BA111" s="16">
        <f t="shared" si="278"/>
        <v>45088.77182737174</v>
      </c>
      <c r="BB111" s="55">
        <f t="shared" si="279"/>
        <v>9847.5295482115216</v>
      </c>
      <c r="BC111" s="55">
        <f t="shared" si="280"/>
        <v>2430.5417744884999</v>
      </c>
      <c r="BD111" s="55">
        <f t="shared" si="281"/>
        <v>7416.9877737230217</v>
      </c>
      <c r="BE111" s="55">
        <f t="shared" si="282"/>
        <v>7416.9877737230217</v>
      </c>
      <c r="BF111" s="56"/>
      <c r="BG111" s="62">
        <f t="shared" si="283"/>
        <v>198857.38598250001</v>
      </c>
      <c r="BH111" s="62">
        <f t="shared" si="284"/>
        <v>26324.792345362443</v>
      </c>
      <c r="BI111" s="62">
        <f t="shared" si="213"/>
        <v>225182.17832786246</v>
      </c>
      <c r="BJ111" s="55">
        <f t="shared" si="214"/>
        <v>34789.500434831425</v>
      </c>
      <c r="BK111" s="55">
        <f t="shared" si="285"/>
        <v>29166.501293861998</v>
      </c>
      <c r="BL111" s="55">
        <f t="shared" si="286"/>
        <v>5622.9991409694267</v>
      </c>
      <c r="BM111" s="55">
        <f t="shared" si="287"/>
        <v>5622.9991409694267</v>
      </c>
      <c r="BN111" s="67"/>
    </row>
    <row r="112" spans="2:66" x14ac:dyDescent="0.2">
      <c r="B112" s="75" t="s">
        <v>91</v>
      </c>
      <c r="C112" s="76">
        <v>9</v>
      </c>
      <c r="D112" s="100">
        <v>218603</v>
      </c>
      <c r="E112" s="76"/>
      <c r="F112" s="100"/>
      <c r="G112" s="100">
        <v>218603</v>
      </c>
      <c r="H112" s="100">
        <v>294890</v>
      </c>
      <c r="I112" s="100">
        <v>3538680</v>
      </c>
      <c r="J112" s="100"/>
      <c r="K112" s="100"/>
      <c r="L112" s="100">
        <v>53578.73889344035</v>
      </c>
      <c r="M112" s="100">
        <v>535787.38893440354</v>
      </c>
      <c r="N112" s="100"/>
      <c r="O112" s="100">
        <v>145970.55000000002</v>
      </c>
      <c r="P112" s="100">
        <v>145744.91406094929</v>
      </c>
      <c r="Q112" s="100">
        <v>124275.18995582692</v>
      </c>
      <c r="R112" s="100">
        <v>106160.40000000002</v>
      </c>
      <c r="S112" s="100">
        <v>619269</v>
      </c>
      <c r="T112" s="100">
        <v>65161.8</v>
      </c>
      <c r="U112" s="100">
        <v>4710.1216284375005</v>
      </c>
      <c r="V112" s="100">
        <v>85909.446191250012</v>
      </c>
      <c r="W112" s="100">
        <v>4710.1216284375005</v>
      </c>
      <c r="X112" s="100">
        <v>85909.446191250012</v>
      </c>
      <c r="Y112" s="100">
        <v>0</v>
      </c>
      <c r="Z112" s="100">
        <v>107445</v>
      </c>
      <c r="AA112" s="42"/>
      <c r="AB112" s="42"/>
      <c r="AC112" s="60"/>
      <c r="AD112" s="61"/>
      <c r="AE112" s="61"/>
      <c r="AF112" s="62"/>
      <c r="AG112" s="62"/>
      <c r="AH112" s="62"/>
      <c r="AI112" s="62"/>
      <c r="AJ112" s="62"/>
      <c r="AK112" s="62"/>
      <c r="AL112" s="62"/>
      <c r="AN112" s="27"/>
      <c r="AP112" s="55"/>
      <c r="AQ112" s="55"/>
      <c r="AR112" s="16"/>
      <c r="AS112" s="16"/>
      <c r="AT112" s="55"/>
      <c r="AU112" s="55"/>
      <c r="AV112" s="55"/>
      <c r="AW112" s="93"/>
      <c r="AX112" s="62"/>
      <c r="AY112" s="62"/>
      <c r="AZ112" s="16"/>
      <c r="BA112" s="16"/>
      <c r="BB112" s="55"/>
      <c r="BC112" s="55"/>
      <c r="BD112" s="55"/>
      <c r="BE112" s="55">
        <f t="shared" si="282"/>
        <v>0</v>
      </c>
      <c r="BF112" s="56"/>
      <c r="BG112" s="62"/>
      <c r="BH112" s="62"/>
      <c r="BI112" s="62"/>
      <c r="BJ112" s="55"/>
      <c r="BK112" s="55"/>
      <c r="BL112" s="55"/>
      <c r="BM112" s="55"/>
      <c r="BN112" s="67"/>
    </row>
    <row r="113" spans="2:66" x14ac:dyDescent="0.2">
      <c r="B113" s="118" t="s">
        <v>173</v>
      </c>
      <c r="C113" s="122"/>
      <c r="D113" s="123"/>
      <c r="E113" s="122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42"/>
      <c r="AB113" s="42"/>
      <c r="AC113" s="60"/>
      <c r="AD113" s="61"/>
      <c r="AE113" s="61"/>
      <c r="AF113" s="62"/>
      <c r="AG113" s="62"/>
      <c r="AH113" s="62"/>
      <c r="AI113" s="62"/>
      <c r="AJ113" s="62"/>
      <c r="AK113" s="62"/>
      <c r="AL113" s="62"/>
      <c r="AN113" s="27"/>
      <c r="AP113" s="55"/>
      <c r="AQ113" s="55"/>
      <c r="AR113" s="16"/>
      <c r="AS113" s="16"/>
      <c r="AT113" s="55"/>
      <c r="AU113" s="55"/>
      <c r="AV113" s="55"/>
      <c r="AW113" s="93"/>
      <c r="AX113" s="62"/>
      <c r="AY113" s="62"/>
      <c r="AZ113" s="16"/>
      <c r="BA113" s="16"/>
      <c r="BB113" s="55"/>
      <c r="BC113" s="55"/>
      <c r="BD113" s="55"/>
      <c r="BE113" s="55"/>
      <c r="BF113" s="56"/>
      <c r="BG113" s="62"/>
      <c r="BH113" s="62"/>
      <c r="BI113" s="62"/>
      <c r="BJ113" s="55"/>
      <c r="BK113" s="55"/>
      <c r="BL113" s="55"/>
      <c r="BM113" s="55"/>
      <c r="BN113" s="67"/>
    </row>
    <row r="114" spans="2:66" x14ac:dyDescent="0.2">
      <c r="B114" s="95" t="s">
        <v>156</v>
      </c>
      <c r="C114" s="64">
        <v>1</v>
      </c>
      <c r="D114" s="65">
        <v>72728</v>
      </c>
      <c r="E114" s="64"/>
      <c r="F114" s="65">
        <v>24000.240000000002</v>
      </c>
      <c r="G114" s="65">
        <v>72728</v>
      </c>
      <c r="H114" s="65">
        <v>72728</v>
      </c>
      <c r="I114" s="65">
        <v>872736</v>
      </c>
      <c r="J114" s="65">
        <v>10743.566769406392</v>
      </c>
      <c r="K114" s="65">
        <v>2053.3436940639267</v>
      </c>
      <c r="L114" s="65">
        <v>12796.910463470318</v>
      </c>
      <c r="M114" s="65">
        <v>127969.10463470318</v>
      </c>
      <c r="N114" s="65">
        <v>36000.36</v>
      </c>
      <c r="O114" s="65">
        <v>36000.36</v>
      </c>
      <c r="P114" s="65">
        <v>40441.212175799068</v>
      </c>
      <c r="Q114" s="65">
        <v>20165.973968749997</v>
      </c>
      <c r="R114" s="65">
        <v>26182.080000000002</v>
      </c>
      <c r="S114" s="65">
        <v>152728.79999999999</v>
      </c>
      <c r="T114" s="65">
        <v>13588.199999999999</v>
      </c>
      <c r="U114" s="65">
        <v>514.38750000000005</v>
      </c>
      <c r="V114" s="65">
        <v>6172.6500000000005</v>
      </c>
      <c r="W114" s="65">
        <v>514.38750000000005</v>
      </c>
      <c r="X114" s="65">
        <v>6172.6500000000005</v>
      </c>
      <c r="Y114" s="65">
        <v>0</v>
      </c>
      <c r="Z114" s="65">
        <v>0</v>
      </c>
      <c r="AA114" s="3"/>
      <c r="AB114" s="42">
        <f>+G114/30</f>
        <v>2424.2666666666669</v>
      </c>
      <c r="AC114" s="60">
        <f>IF(((U114/30)&lt;$AH$4),0,((U114/30)-$AH$4))</f>
        <v>0</v>
      </c>
      <c r="AD114" s="61">
        <f>+AB114+AC114</f>
        <v>2424.2666666666669</v>
      </c>
      <c r="AE114" s="61">
        <f>IF((AD114*$AH$3)&gt;$AI$6,$AI$6,(AD114*$AH$3))</f>
        <v>1887.2499999999998</v>
      </c>
      <c r="AF114" s="62">
        <f>+$AL$1*$AL$2*$AF$9</f>
        <v>5620.9853999999996</v>
      </c>
      <c r="AG114" s="62">
        <f>+IF(AE114&gt;($AH$6*3),(AE114-($AH$6*3))*$AG$8,0)*$AG$9</f>
        <v>6668.0316999999986</v>
      </c>
      <c r="AH114" s="62">
        <f>+IF(AE114&gt;($AH$6*3),(AE114-($AH$6*3))*$AH$8,0)*$AH$9</f>
        <v>2424.7387999999996</v>
      </c>
      <c r="AI114" s="62">
        <f>+(AE114*$AI$9)*$AI$8</f>
        <v>5452.2180687499995</v>
      </c>
      <c r="AJ114" s="62">
        <f>+AF114+AG114+AI114</f>
        <v>17741.235168749998</v>
      </c>
      <c r="AK114" s="62">
        <f>+AH114</f>
        <v>2424.7387999999996</v>
      </c>
      <c r="AL114" s="62">
        <f>+AJ114+AK114</f>
        <v>20165.973968749997</v>
      </c>
      <c r="AN114" s="27">
        <f>+AT114*C114</f>
        <v>18673.064799999996</v>
      </c>
      <c r="AP114" s="66">
        <f t="shared" ref="AP114:AP117" si="288">+((M114/C114)-($AL$2*30))</f>
        <v>125704.40463470318</v>
      </c>
      <c r="AQ114" s="55">
        <f t="shared" ref="AQ114:AQ117" si="289">+AP114/365*30.4</f>
        <v>10469.627125739662</v>
      </c>
      <c r="AR114" s="16">
        <f t="shared" ref="AR114:AR117" si="290">+G114+U114+W114+AQ114</f>
        <v>84226.402125739653</v>
      </c>
      <c r="AS114" s="55">
        <f t="shared" ref="AS114:AS117" si="291">((AR114-VLOOKUP(AR114,$BO$17:$BR$39,1))*VLOOKUP(AR114,$BO$17:$BR$39,4)+VLOOKUP(AR114,$BO$17:$BR$39,3))-VLOOKUP(AR114,$BT$17:$BV$39,3)</f>
        <v>22041.211122751483</v>
      </c>
      <c r="AT114" s="55">
        <f t="shared" ref="AT114:AT117" si="292">(((G114+U114+W114)-VLOOKUP((G114+U114+W114),$BO$17:$BR$39,1))*VLOOKUP((G114+U114+W114),$BO$17:$BR$39,4)+VLOOKUP((G114+U114+W114),$BO$17:$BR$39,3))-VLOOKUP((G114+U114+W114),$BT$17:$BV$39,3)</f>
        <v>18673.064799999996</v>
      </c>
      <c r="AU114" s="55">
        <f t="shared" ref="AU114:AU117" si="293">+AS114-AT114</f>
        <v>3368.1463227514869</v>
      </c>
      <c r="AV114" s="16">
        <f t="shared" ref="AV114:AV117" si="294">+AR114+AQ114</f>
        <v>94696.029251479311</v>
      </c>
      <c r="AW114" s="56">
        <f t="shared" ref="AW114:AW117" si="295">+(AU114/AQ114)</f>
        <v>0.3217064258640952</v>
      </c>
      <c r="AX114" s="62">
        <f t="shared" ref="AX114:AX117" si="296">+AP114*AW114</f>
        <v>40439.914730404365</v>
      </c>
      <c r="AY114" s="62">
        <f t="shared" ref="AY114:AY117" si="297">+AX114*C114</f>
        <v>40439.914730404365</v>
      </c>
      <c r="AZ114" s="16"/>
      <c r="BA114" s="16">
        <f>+AP114+AR114</f>
        <v>209930.80676044285</v>
      </c>
      <c r="BB114" s="55">
        <f>((BA114-VLOOKUP(BA114,$BO$17:$BR$39,1))*VLOOKUP(BA114,$BO$17:$BR$39,4)+VLOOKUP(BA114,$BO$17:$BR$39,3))-VLOOKUP(BA114,$BT$17:$BV$39,3)</f>
        <v>64780.708698550574</v>
      </c>
      <c r="BC114" s="55">
        <f>+AT114</f>
        <v>18673.064799999996</v>
      </c>
      <c r="BD114" s="55">
        <f>+BB114-BC114</f>
        <v>46107.643898550581</v>
      </c>
      <c r="BE114" s="55">
        <f>+BD114*C114</f>
        <v>46107.643898550581</v>
      </c>
      <c r="BF114" s="56"/>
      <c r="BG114" s="62">
        <f t="shared" ref="BG114:BG117" si="298">+(G114+U114+W114)*12</f>
        <v>885081.29999999993</v>
      </c>
      <c r="BH114" s="62">
        <f>+AP114</f>
        <v>125704.40463470318</v>
      </c>
      <c r="BI114" s="62">
        <f t="shared" si="213"/>
        <v>1010785.7046347031</v>
      </c>
      <c r="BJ114" s="55">
        <f t="shared" si="214"/>
        <v>264517.98977579904</v>
      </c>
      <c r="BK114" s="55">
        <f>+AT114*12</f>
        <v>224076.77759999997</v>
      </c>
      <c r="BL114" s="55">
        <f t="shared" ref="BL114:BL117" si="299">+BJ114-BK114</f>
        <v>40441.212175799068</v>
      </c>
      <c r="BM114" s="55">
        <f t="shared" ref="BM114:BM117" si="300">+BL114*C114</f>
        <v>40441.212175799068</v>
      </c>
      <c r="BN114" s="67"/>
    </row>
    <row r="115" spans="2:66" x14ac:dyDescent="0.2">
      <c r="B115" s="95" t="s">
        <v>174</v>
      </c>
      <c r="C115" s="64">
        <v>1</v>
      </c>
      <c r="D115" s="65">
        <v>33058</v>
      </c>
      <c r="E115" s="64"/>
      <c r="F115" s="65">
        <v>10909.140000000001</v>
      </c>
      <c r="G115" s="65">
        <v>33058</v>
      </c>
      <c r="H115" s="65">
        <v>33058</v>
      </c>
      <c r="I115" s="65">
        <v>396696</v>
      </c>
      <c r="J115" s="65">
        <v>5022.0955847031955</v>
      </c>
      <c r="K115" s="65">
        <v>953.33108538812769</v>
      </c>
      <c r="L115" s="65">
        <v>5975.4266700913231</v>
      </c>
      <c r="M115" s="65">
        <v>59754.266700913227</v>
      </c>
      <c r="N115" s="65">
        <v>16363.710000000003</v>
      </c>
      <c r="O115" s="65">
        <v>16363.710000000003</v>
      </c>
      <c r="P115" s="65">
        <v>17246.903010273963</v>
      </c>
      <c r="Q115" s="65">
        <v>14986.399130000002</v>
      </c>
      <c r="R115" s="65">
        <v>11900.880000000001</v>
      </c>
      <c r="S115" s="65">
        <v>69421.799999999988</v>
      </c>
      <c r="T115" s="65">
        <v>7933.92</v>
      </c>
      <c r="U115" s="65">
        <v>709.85474999999997</v>
      </c>
      <c r="V115" s="65">
        <v>8518.2569999999996</v>
      </c>
      <c r="W115" s="65">
        <v>709.85474999999997</v>
      </c>
      <c r="X115" s="65">
        <v>8518.2569999999996</v>
      </c>
      <c r="Y115" s="65">
        <v>0</v>
      </c>
      <c r="Z115" s="65">
        <v>16529</v>
      </c>
      <c r="AA115" s="3"/>
      <c r="AB115" s="42">
        <f>+G115/30</f>
        <v>1101.9333333333334</v>
      </c>
      <c r="AC115" s="60">
        <f>IF(((U115/30)&lt;$AH$4),0,((U115/30)-$AH$4))</f>
        <v>0</v>
      </c>
      <c r="AD115" s="61">
        <f>+AB115+AC115</f>
        <v>1101.9333333333334</v>
      </c>
      <c r="AE115" s="61">
        <f>IF((AD115*$AH$3)&gt;$AI$6,$AI$6,(AD115*$AH$3))</f>
        <v>1267.9780821917809</v>
      </c>
      <c r="AF115" s="62">
        <f>+$AL$1*$AL$2*$AF$9</f>
        <v>5620.9853999999996</v>
      </c>
      <c r="AG115" s="62">
        <f>+IF(AE115&gt;($AH$6*3),(AE115-($AH$6*3))*$AG$8,0)*$AG$9</f>
        <v>4181.6549500000001</v>
      </c>
      <c r="AH115" s="62">
        <f>+IF(AE115&gt;($AH$6*3),(AE115-($AH$6*3))*$AH$8,0)*$AH$9</f>
        <v>1520.6017999999999</v>
      </c>
      <c r="AI115" s="62">
        <f>+(AE115*$AI$9)*$AI$8</f>
        <v>3663.1569800000007</v>
      </c>
      <c r="AJ115" s="62">
        <f>+AF115+AG115+AI115</f>
        <v>13465.797330000001</v>
      </c>
      <c r="AK115" s="62">
        <f>+AH115</f>
        <v>1520.6017999999999</v>
      </c>
      <c r="AL115" s="62">
        <f>+AJ115+AK115</f>
        <v>14986.399130000002</v>
      </c>
      <c r="AN115" s="27">
        <f>+AT115*C115</f>
        <v>6664.2108499999986</v>
      </c>
      <c r="AP115" s="66">
        <f t="shared" si="288"/>
        <v>57489.56670091323</v>
      </c>
      <c r="AQ115" s="55">
        <f t="shared" si="289"/>
        <v>4788.1721307061971</v>
      </c>
      <c r="AR115" s="16">
        <f t="shared" si="290"/>
        <v>39265.881630706193</v>
      </c>
      <c r="AS115" s="55">
        <f t="shared" si="291"/>
        <v>8100.662489211858</v>
      </c>
      <c r="AT115" s="55">
        <f t="shared" si="292"/>
        <v>6664.2108499999986</v>
      </c>
      <c r="AU115" s="55">
        <f t="shared" si="293"/>
        <v>1436.4516392118594</v>
      </c>
      <c r="AV115" s="16">
        <f t="shared" si="294"/>
        <v>44054.05376141239</v>
      </c>
      <c r="AW115" s="56">
        <f t="shared" si="295"/>
        <v>0.30000000000000004</v>
      </c>
      <c r="AX115" s="62">
        <f t="shared" si="296"/>
        <v>17246.870010273971</v>
      </c>
      <c r="AY115" s="62">
        <f t="shared" si="297"/>
        <v>17246.870010273971</v>
      </c>
      <c r="AZ115" s="16"/>
      <c r="BA115" s="16">
        <f>+AP115+AR115</f>
        <v>96755.448331619424</v>
      </c>
      <c r="BB115" s="55">
        <f>((BA115-VLOOKUP(BA115,$BO$17:$BR$39,1))*VLOOKUP(BA115,$BO$17:$BR$39,4)+VLOOKUP(BA115,$BO$17:$BR$39,3))-VLOOKUP(BA115,$BT$17:$BV$39,3)</f>
        <v>26301.086832750603</v>
      </c>
      <c r="BC115" s="55">
        <f>+AT115</f>
        <v>6664.2108499999986</v>
      </c>
      <c r="BD115" s="55">
        <f>+BB115-BC115</f>
        <v>19636.875982750604</v>
      </c>
      <c r="BE115" s="55">
        <f>+BD115*C115</f>
        <v>19636.875982750604</v>
      </c>
      <c r="BF115" s="56"/>
      <c r="BG115" s="62">
        <f t="shared" si="298"/>
        <v>413732.51399999997</v>
      </c>
      <c r="BH115" s="62">
        <f>+AP115</f>
        <v>57489.56670091323</v>
      </c>
      <c r="BI115" s="62">
        <f t="shared" si="213"/>
        <v>471222.08070091321</v>
      </c>
      <c r="BJ115" s="55">
        <f t="shared" si="214"/>
        <v>97217.433210273943</v>
      </c>
      <c r="BK115" s="55">
        <f>+AT115*12</f>
        <v>79970.530199999979</v>
      </c>
      <c r="BL115" s="55">
        <f t="shared" si="299"/>
        <v>17246.903010273963</v>
      </c>
      <c r="BM115" s="55">
        <f t="shared" si="300"/>
        <v>17246.903010273963</v>
      </c>
      <c r="BN115" s="67"/>
    </row>
    <row r="116" spans="2:66" x14ac:dyDescent="0.2">
      <c r="B116" s="95" t="s">
        <v>175</v>
      </c>
      <c r="C116" s="64">
        <v>1</v>
      </c>
      <c r="D116" s="65">
        <v>25429</v>
      </c>
      <c r="E116" s="64"/>
      <c r="F116" s="65">
        <v>8391.57</v>
      </c>
      <c r="G116" s="65">
        <v>25429</v>
      </c>
      <c r="H116" s="65">
        <v>25429</v>
      </c>
      <c r="I116" s="65">
        <v>305148</v>
      </c>
      <c r="J116" s="65">
        <v>3941.8591004908681</v>
      </c>
      <c r="K116" s="65">
        <v>744.67984134703181</v>
      </c>
      <c r="L116" s="65">
        <v>4686.5389418379</v>
      </c>
      <c r="M116" s="65">
        <v>46865.389418378996</v>
      </c>
      <c r="N116" s="65">
        <v>12587.355</v>
      </c>
      <c r="O116" s="65">
        <v>12587.355</v>
      </c>
      <c r="P116" s="65">
        <v>10490.108023202731</v>
      </c>
      <c r="Q116" s="65">
        <v>12538.939639999999</v>
      </c>
      <c r="R116" s="65">
        <v>9154.44</v>
      </c>
      <c r="S116" s="65">
        <v>53400.899999999994</v>
      </c>
      <c r="T116" s="65">
        <v>6102.96</v>
      </c>
      <c r="U116" s="65">
        <v>816.33296249999989</v>
      </c>
      <c r="V116" s="65">
        <v>9795.9955499999996</v>
      </c>
      <c r="W116" s="65">
        <v>816.33296249999989</v>
      </c>
      <c r="X116" s="65">
        <v>9795.9955499999996</v>
      </c>
      <c r="Y116" s="65">
        <v>0</v>
      </c>
      <c r="Z116" s="65">
        <v>12714.5</v>
      </c>
      <c r="AA116" s="3"/>
      <c r="AB116" s="42">
        <f>+G116/30</f>
        <v>847.63333333333333</v>
      </c>
      <c r="AC116" s="60">
        <f>IF(((U116/30)&lt;$AH$4),0,((U116/30)-$AH$4))</f>
        <v>0</v>
      </c>
      <c r="AD116" s="61">
        <f>+AB116+AC116</f>
        <v>847.63333333333333</v>
      </c>
      <c r="AE116" s="61">
        <f>IF((AD116*$AH$3)&gt;$AI$6,$AI$6,(AD116*$AH$3))</f>
        <v>975.35890410958893</v>
      </c>
      <c r="AF116" s="62">
        <f>+$AL$1*$AL$2*$AF$9</f>
        <v>5620.9853999999996</v>
      </c>
      <c r="AG116" s="62">
        <f>+IF(AE116&gt;($AH$6*3),(AE116-($AH$6*3))*$AG$8,0)*$AG$9</f>
        <v>3006.7889500000001</v>
      </c>
      <c r="AH116" s="62">
        <f>+IF(AE116&gt;($AH$6*3),(AE116-($AH$6*3))*$AH$8,0)*$AH$9</f>
        <v>1093.3778</v>
      </c>
      <c r="AI116" s="62">
        <f>+(AE116*$AI$9)*$AI$8</f>
        <v>2817.7874899999997</v>
      </c>
      <c r="AJ116" s="62">
        <f>+AF116+AG116+AI116</f>
        <v>11445.561839999998</v>
      </c>
      <c r="AK116" s="62">
        <f>+AH116</f>
        <v>1093.3778</v>
      </c>
      <c r="AL116" s="62">
        <f>+AJ116+AK116</f>
        <v>12538.939639999999</v>
      </c>
      <c r="AN116" s="27">
        <f>+AT116*C116</f>
        <v>4807.1492655600005</v>
      </c>
      <c r="AP116" s="66">
        <f t="shared" si="288"/>
        <v>44600.689418378999</v>
      </c>
      <c r="AQ116" s="55">
        <f t="shared" si="289"/>
        <v>3714.6875570375933</v>
      </c>
      <c r="AR116" s="16">
        <f t="shared" si="290"/>
        <v>30776.353482037593</v>
      </c>
      <c r="AS116" s="55">
        <f t="shared" si="291"/>
        <v>5680.8437789752425</v>
      </c>
      <c r="AT116" s="55">
        <f t="shared" si="292"/>
        <v>4807.1492655600005</v>
      </c>
      <c r="AU116" s="55">
        <f t="shared" si="293"/>
        <v>873.694513415242</v>
      </c>
      <c r="AV116" s="16">
        <f t="shared" si="294"/>
        <v>34491.041039075186</v>
      </c>
      <c r="AW116" s="56">
        <f t="shared" si="295"/>
        <v>0.23520000000000002</v>
      </c>
      <c r="AX116" s="62">
        <f t="shared" si="296"/>
        <v>10490.082151202741</v>
      </c>
      <c r="AY116" s="62">
        <f t="shared" si="297"/>
        <v>10490.082151202741</v>
      </c>
      <c r="AZ116" s="16"/>
      <c r="BA116" s="16">
        <f>+AP116+AR116</f>
        <v>75377.042900416593</v>
      </c>
      <c r="BB116" s="55">
        <f>((BA116-VLOOKUP(BA116,$BO$17:$BR$39,1))*VLOOKUP(BA116,$BO$17:$BR$39,4)+VLOOKUP(BA116,$BO$17:$BR$39,3))-VLOOKUP(BA116,$BT$17:$BV$39,3)</f>
        <v>19191.55052813331</v>
      </c>
      <c r="BC116" s="55">
        <f>+AT116</f>
        <v>4807.1492655600005</v>
      </c>
      <c r="BD116" s="55">
        <f>+BB116-BC116</f>
        <v>14384.401262573308</v>
      </c>
      <c r="BE116" s="55">
        <f>+BD116*C116</f>
        <v>14384.401262573308</v>
      </c>
      <c r="BF116" s="56"/>
      <c r="BG116" s="62">
        <f t="shared" si="298"/>
        <v>324739.99109999998</v>
      </c>
      <c r="BH116" s="62">
        <f>+AP116</f>
        <v>44600.689418378999</v>
      </c>
      <c r="BI116" s="62">
        <f t="shared" si="213"/>
        <v>369340.68051837897</v>
      </c>
      <c r="BJ116" s="55">
        <f t="shared" si="214"/>
        <v>68175.899209922733</v>
      </c>
      <c r="BK116" s="55">
        <f>+AT116*12</f>
        <v>57685.791186720002</v>
      </c>
      <c r="BL116" s="55">
        <f t="shared" si="299"/>
        <v>10490.108023202731</v>
      </c>
      <c r="BM116" s="55">
        <f t="shared" si="300"/>
        <v>10490.108023202731</v>
      </c>
      <c r="BN116" s="67"/>
    </row>
    <row r="117" spans="2:66" x14ac:dyDescent="0.2">
      <c r="B117" s="95" t="s">
        <v>135</v>
      </c>
      <c r="C117" s="64">
        <v>1</v>
      </c>
      <c r="D117" s="65">
        <v>14000</v>
      </c>
      <c r="E117" s="64"/>
      <c r="F117" s="65">
        <v>4620</v>
      </c>
      <c r="G117" s="65">
        <v>14000</v>
      </c>
      <c r="H117" s="65">
        <v>14000</v>
      </c>
      <c r="I117" s="65">
        <v>168000</v>
      </c>
      <c r="J117" s="65">
        <v>2413.832044460331</v>
      </c>
      <c r="K117" s="65">
        <v>445.11719007591324</v>
      </c>
      <c r="L117" s="65">
        <v>2858.9492345362441</v>
      </c>
      <c r="M117" s="65">
        <v>28589.492345362443</v>
      </c>
      <c r="N117" s="65">
        <v>6930</v>
      </c>
      <c r="O117" s="65">
        <v>6930</v>
      </c>
      <c r="P117" s="65">
        <v>5622.9991409694267</v>
      </c>
      <c r="Q117" s="65">
        <v>8994.2600370769069</v>
      </c>
      <c r="R117" s="65">
        <v>5040</v>
      </c>
      <c r="S117" s="65">
        <v>29400</v>
      </c>
      <c r="T117" s="65">
        <v>3360</v>
      </c>
      <c r="U117" s="65">
        <v>1285.7244159375</v>
      </c>
      <c r="V117" s="65">
        <v>15428.69299125</v>
      </c>
      <c r="W117" s="65">
        <v>1285.7244159375</v>
      </c>
      <c r="X117" s="65">
        <v>15428.69299125</v>
      </c>
      <c r="Y117" s="65">
        <v>0</v>
      </c>
      <c r="Z117" s="65">
        <v>7000</v>
      </c>
      <c r="AA117" s="3"/>
      <c r="AB117" s="42">
        <f>+G117/30</f>
        <v>466.66666666666669</v>
      </c>
      <c r="AC117" s="60">
        <f>IF(((U117/30)&lt;$AH$4),0,((U117/30)-$AH$4))</f>
        <v>12.66148053125</v>
      </c>
      <c r="AD117" s="61">
        <f>+AB117+AC117</f>
        <v>479.32814719791668</v>
      </c>
      <c r="AE117" s="61">
        <f>IF((AD117*$AH$3)&gt;$AI$6,$AI$6,(AD117*$AH$3))</f>
        <v>551.5556762277397</v>
      </c>
      <c r="AF117" s="62">
        <f>+$AL$1*$AL$2*$AF$9</f>
        <v>5620.9853999999996</v>
      </c>
      <c r="AG117" s="62">
        <f>+IF(AE117&gt;($AH$6*3),(AE117-($AH$6*3))*$AG$8,0)*$AG$9</f>
        <v>1305.2189900543749</v>
      </c>
      <c r="AH117" s="62">
        <f>+IF(AE117&gt;($AH$6*3),(AE117-($AH$6*3))*$AH$8,0)*$AH$9</f>
        <v>474.62508729249998</v>
      </c>
      <c r="AI117" s="62">
        <f>+(AE117*$AI$9)*$AI$8</f>
        <v>1593.4305597300342</v>
      </c>
      <c r="AJ117" s="62">
        <f>+AF117+AG117+AI117</f>
        <v>8519.6349497844076</v>
      </c>
      <c r="AK117" s="62">
        <f>+AH117</f>
        <v>474.62508729249998</v>
      </c>
      <c r="AL117" s="62">
        <f>+AJ117+AK117</f>
        <v>8994.2600370769069</v>
      </c>
      <c r="AN117" s="27">
        <f>+AT117*C117</f>
        <v>2430.5417744884999</v>
      </c>
      <c r="AP117" s="66">
        <f t="shared" si="288"/>
        <v>26324.792345362443</v>
      </c>
      <c r="AQ117" s="55">
        <f t="shared" si="289"/>
        <v>2192.5306501342966</v>
      </c>
      <c r="AR117" s="16">
        <f t="shared" si="290"/>
        <v>18763.979482009297</v>
      </c>
      <c r="AS117" s="55">
        <f t="shared" si="291"/>
        <v>2898.8663213571858</v>
      </c>
      <c r="AT117" s="55">
        <f t="shared" si="292"/>
        <v>2430.5417744884999</v>
      </c>
      <c r="AU117" s="55">
        <f t="shared" si="293"/>
        <v>468.32454686868596</v>
      </c>
      <c r="AV117" s="16">
        <f t="shared" si="294"/>
        <v>20956.510132143594</v>
      </c>
      <c r="AW117" s="56">
        <f t="shared" si="295"/>
        <v>0.2136000000000001</v>
      </c>
      <c r="AX117" s="62">
        <f t="shared" si="296"/>
        <v>5622.9756449694205</v>
      </c>
      <c r="AY117" s="62">
        <f t="shared" si="297"/>
        <v>5622.9756449694205</v>
      </c>
      <c r="AZ117" s="16"/>
      <c r="BA117" s="16">
        <f>+AP117+AR117</f>
        <v>45088.77182737174</v>
      </c>
      <c r="BB117" s="55">
        <f>((BA117-VLOOKUP(BA117,$BO$17:$BR$39,1))*VLOOKUP(BA117,$BO$17:$BR$39,4)+VLOOKUP(BA117,$BO$17:$BR$39,3))-VLOOKUP(BA117,$BT$17:$BV$39,3)</f>
        <v>9847.5295482115216</v>
      </c>
      <c r="BC117" s="55">
        <f>+AT117</f>
        <v>2430.5417744884999</v>
      </c>
      <c r="BD117" s="55">
        <f>+BB117-BC117</f>
        <v>7416.9877737230217</v>
      </c>
      <c r="BE117" s="55">
        <f>+BD117*C117</f>
        <v>7416.9877737230217</v>
      </c>
      <c r="BF117" s="56"/>
      <c r="BG117" s="62">
        <f t="shared" si="298"/>
        <v>198857.38598250001</v>
      </c>
      <c r="BH117" s="62">
        <f>+AP117</f>
        <v>26324.792345362443</v>
      </c>
      <c r="BI117" s="62">
        <f t="shared" si="213"/>
        <v>225182.17832786246</v>
      </c>
      <c r="BJ117" s="55">
        <f t="shared" si="214"/>
        <v>34789.500434831425</v>
      </c>
      <c r="BK117" s="55">
        <f>+AT117*12</f>
        <v>29166.501293861998</v>
      </c>
      <c r="BL117" s="55">
        <f t="shared" si="299"/>
        <v>5622.9991409694267</v>
      </c>
      <c r="BM117" s="55">
        <f t="shared" si="300"/>
        <v>5622.9991409694267</v>
      </c>
      <c r="BN117" s="67"/>
    </row>
    <row r="118" spans="2:66" x14ac:dyDescent="0.2">
      <c r="B118" s="75" t="s">
        <v>91</v>
      </c>
      <c r="C118" s="76">
        <v>4</v>
      </c>
      <c r="D118" s="100">
        <v>145215</v>
      </c>
      <c r="E118" s="76"/>
      <c r="F118" s="100"/>
      <c r="G118" s="100">
        <v>145215</v>
      </c>
      <c r="H118" s="100">
        <v>145215</v>
      </c>
      <c r="I118" s="100">
        <v>1742580</v>
      </c>
      <c r="J118" s="100"/>
      <c r="K118" s="100"/>
      <c r="L118" s="100">
        <v>26317.825309935783</v>
      </c>
      <c r="M118" s="100">
        <v>263178.25309935783</v>
      </c>
      <c r="N118" s="100"/>
      <c r="O118" s="100">
        <v>71881.425000000003</v>
      </c>
      <c r="P118" s="100">
        <v>73801.222350245196</v>
      </c>
      <c r="Q118" s="100">
        <v>56685.572775826906</v>
      </c>
      <c r="R118" s="100">
        <v>52277.400000000009</v>
      </c>
      <c r="S118" s="100">
        <v>304951.5</v>
      </c>
      <c r="T118" s="100">
        <v>30985.079999999998</v>
      </c>
      <c r="U118" s="100">
        <v>3326.2996284374999</v>
      </c>
      <c r="V118" s="100">
        <v>39915.595541249997</v>
      </c>
      <c r="W118" s="100">
        <v>3326.2996284374999</v>
      </c>
      <c r="X118" s="100">
        <v>39915.595541249997</v>
      </c>
      <c r="Y118" s="100">
        <v>0</v>
      </c>
      <c r="Z118" s="100">
        <v>36243.5</v>
      </c>
      <c r="AA118" s="42"/>
      <c r="AB118" s="42"/>
      <c r="AC118" s="60"/>
      <c r="AD118" s="61"/>
      <c r="AE118" s="61"/>
      <c r="AF118" s="62"/>
      <c r="AG118" s="62"/>
      <c r="AH118" s="62"/>
      <c r="AI118" s="62"/>
      <c r="AJ118" s="62"/>
      <c r="AK118" s="62"/>
      <c r="AL118" s="62"/>
      <c r="AN118" s="27"/>
      <c r="AP118" s="55"/>
      <c r="AQ118" s="55"/>
      <c r="AR118" s="16"/>
      <c r="AS118" s="16"/>
      <c r="AT118" s="55"/>
      <c r="AU118" s="55"/>
      <c r="AV118" s="55"/>
      <c r="AW118" s="93"/>
      <c r="AX118" s="62"/>
      <c r="AY118" s="62"/>
      <c r="AZ118" s="16"/>
      <c r="BA118" s="16"/>
      <c r="BB118" s="55"/>
      <c r="BC118" s="55"/>
      <c r="BD118" s="55"/>
      <c r="BE118" s="55">
        <f>+BD118*C118</f>
        <v>0</v>
      </c>
      <c r="BF118" s="56"/>
      <c r="BG118" s="62"/>
      <c r="BH118" s="62"/>
      <c r="BI118" s="62"/>
      <c r="BJ118" s="55"/>
      <c r="BK118" s="55"/>
      <c r="BL118" s="55"/>
      <c r="BM118" s="55"/>
      <c r="BN118" s="67"/>
    </row>
    <row r="119" spans="2:66" x14ac:dyDescent="0.2">
      <c r="B119" s="118" t="s">
        <v>176</v>
      </c>
      <c r="C119" s="122"/>
      <c r="D119" s="123"/>
      <c r="E119" s="122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42"/>
      <c r="AB119" s="42"/>
      <c r="AC119" s="60"/>
      <c r="AD119" s="61"/>
      <c r="AE119" s="61"/>
      <c r="AF119" s="62"/>
      <c r="AG119" s="62"/>
      <c r="AH119" s="62"/>
      <c r="AI119" s="62"/>
      <c r="AJ119" s="62"/>
      <c r="AK119" s="62"/>
      <c r="AL119" s="62"/>
      <c r="AN119" s="27"/>
      <c r="AP119" s="55"/>
      <c r="AQ119" s="55"/>
      <c r="AR119" s="16"/>
      <c r="AS119" s="16"/>
      <c r="AT119" s="55"/>
      <c r="AU119" s="55"/>
      <c r="AV119" s="55"/>
      <c r="AW119" s="93"/>
      <c r="AX119" s="62"/>
      <c r="AY119" s="62"/>
      <c r="AZ119" s="16"/>
      <c r="BA119" s="16"/>
      <c r="BB119" s="55"/>
      <c r="BC119" s="55"/>
      <c r="BD119" s="55"/>
      <c r="BE119" s="55"/>
      <c r="BF119" s="56"/>
      <c r="BG119" s="62"/>
      <c r="BH119" s="62"/>
      <c r="BI119" s="62"/>
      <c r="BJ119" s="55"/>
      <c r="BK119" s="55"/>
      <c r="BL119" s="55"/>
      <c r="BM119" s="55"/>
      <c r="BN119" s="67"/>
    </row>
    <row r="120" spans="2:66" x14ac:dyDescent="0.2">
      <c r="B120" s="95" t="s">
        <v>156</v>
      </c>
      <c r="C120" s="64">
        <v>1</v>
      </c>
      <c r="D120" s="65">
        <v>72728</v>
      </c>
      <c r="E120" s="64"/>
      <c r="F120" s="65">
        <v>24000.240000000002</v>
      </c>
      <c r="G120" s="65">
        <v>72728</v>
      </c>
      <c r="H120" s="65">
        <v>72728</v>
      </c>
      <c r="I120" s="65">
        <v>872736</v>
      </c>
      <c r="J120" s="65">
        <v>10743.566769406392</v>
      </c>
      <c r="K120" s="65">
        <v>2053.3436940639267</v>
      </c>
      <c r="L120" s="65">
        <v>12796.910463470318</v>
      </c>
      <c r="M120" s="65">
        <v>127969.10463470318</v>
      </c>
      <c r="N120" s="65">
        <v>36000.36</v>
      </c>
      <c r="O120" s="65">
        <v>36000.36</v>
      </c>
      <c r="P120" s="65">
        <v>40441.212175799068</v>
      </c>
      <c r="Q120" s="65">
        <v>20165.973968749997</v>
      </c>
      <c r="R120" s="65">
        <v>26182.080000000002</v>
      </c>
      <c r="S120" s="65">
        <v>152728.79999999999</v>
      </c>
      <c r="T120" s="65">
        <v>13588.199999999999</v>
      </c>
      <c r="U120" s="65">
        <v>514.38750000000005</v>
      </c>
      <c r="V120" s="65">
        <v>6172.6500000000005</v>
      </c>
      <c r="W120" s="65">
        <v>514.38750000000005</v>
      </c>
      <c r="X120" s="65">
        <v>6172.6500000000005</v>
      </c>
      <c r="Y120" s="65">
        <v>0</v>
      </c>
      <c r="Z120" s="65">
        <v>0</v>
      </c>
      <c r="AA120" s="3"/>
      <c r="AB120" s="42">
        <f>+G120/30</f>
        <v>2424.2666666666669</v>
      </c>
      <c r="AC120" s="60">
        <f>IF(((U120/30)&lt;$AH$4),0,((U120/30)-$AH$4))</f>
        <v>0</v>
      </c>
      <c r="AD120" s="61">
        <f>+AB120+AC120</f>
        <v>2424.2666666666669</v>
      </c>
      <c r="AE120" s="61">
        <f>IF((AD120*$AH$3)&gt;$AI$6,$AI$6,(AD120*$AH$3))</f>
        <v>1887.2499999999998</v>
      </c>
      <c r="AF120" s="62">
        <f>+$AL$1*$AL$2*$AF$9</f>
        <v>5620.9853999999996</v>
      </c>
      <c r="AG120" s="62">
        <f>+IF(AE120&gt;($AH$6*3),(AE120-($AH$6*3))*$AG$8,0)*$AG$9</f>
        <v>6668.0316999999986</v>
      </c>
      <c r="AH120" s="62">
        <f>+IF(AE120&gt;($AH$6*3),(AE120-($AH$6*3))*$AH$8,0)*$AH$9</f>
        <v>2424.7387999999996</v>
      </c>
      <c r="AI120" s="62">
        <f>+(AE120*$AI$9)*$AI$8</f>
        <v>5452.2180687499995</v>
      </c>
      <c r="AJ120" s="62">
        <f>+AF120+AG120+AI120</f>
        <v>17741.235168749998</v>
      </c>
      <c r="AK120" s="62">
        <f>+AH120</f>
        <v>2424.7387999999996</v>
      </c>
      <c r="AL120" s="62">
        <f>+AJ120+AK120</f>
        <v>20165.973968749997</v>
      </c>
      <c r="AN120" s="27">
        <f>+AT120*C120</f>
        <v>18673.064799999996</v>
      </c>
      <c r="AP120" s="66">
        <f t="shared" ref="AP120:AP124" si="301">+((M120/C120)-($AL$2*30))</f>
        <v>125704.40463470318</v>
      </c>
      <c r="AQ120" s="55">
        <f t="shared" ref="AQ120:AQ124" si="302">+AP120/365*30.4</f>
        <v>10469.627125739662</v>
      </c>
      <c r="AR120" s="16">
        <f t="shared" ref="AR120:AR124" si="303">+G120+U120+W120+AQ120</f>
        <v>84226.402125739653</v>
      </c>
      <c r="AS120" s="55">
        <f t="shared" ref="AS120:AS124" si="304">((AR120-VLOOKUP(AR120,$BO$17:$BR$39,1))*VLOOKUP(AR120,$BO$17:$BR$39,4)+VLOOKUP(AR120,$BO$17:$BR$39,3))-VLOOKUP(AR120,$BT$17:$BV$39,3)</f>
        <v>22041.211122751483</v>
      </c>
      <c r="AT120" s="55">
        <f t="shared" ref="AT120:AT124" si="305">(((G120+U120+W120)-VLOOKUP((G120+U120+W120),$BO$17:$BR$39,1))*VLOOKUP((G120+U120+W120),$BO$17:$BR$39,4)+VLOOKUP((G120+U120+W120),$BO$17:$BR$39,3))-VLOOKUP((G120+U120+W120),$BT$17:$BV$39,3)</f>
        <v>18673.064799999996</v>
      </c>
      <c r="AU120" s="55">
        <f t="shared" ref="AU120:AU124" si="306">+AS120-AT120</f>
        <v>3368.1463227514869</v>
      </c>
      <c r="AV120" s="16">
        <f t="shared" ref="AV120:AV124" si="307">+AR120+AQ120</f>
        <v>94696.029251479311</v>
      </c>
      <c r="AW120" s="56">
        <f t="shared" ref="AW120:AW124" si="308">+(AU120/AQ120)</f>
        <v>0.3217064258640952</v>
      </c>
      <c r="AX120" s="62">
        <f t="shared" ref="AX120:AX124" si="309">+AP120*AW120</f>
        <v>40439.914730404365</v>
      </c>
      <c r="AY120" s="62">
        <f t="shared" ref="AY120:AY124" si="310">+AX120*C120</f>
        <v>40439.914730404365</v>
      </c>
      <c r="AZ120" s="16"/>
      <c r="BA120" s="16">
        <f>+AP120+AR120</f>
        <v>209930.80676044285</v>
      </c>
      <c r="BB120" s="55">
        <f>((BA120-VLOOKUP(BA120,$BO$17:$BR$39,1))*VLOOKUP(BA120,$BO$17:$BR$39,4)+VLOOKUP(BA120,$BO$17:$BR$39,3))-VLOOKUP(BA120,$BT$17:$BV$39,3)</f>
        <v>64780.708698550574</v>
      </c>
      <c r="BC120" s="55">
        <f>+AT120</f>
        <v>18673.064799999996</v>
      </c>
      <c r="BD120" s="55">
        <f>+BB120-BC120</f>
        <v>46107.643898550581</v>
      </c>
      <c r="BE120" s="55">
        <f t="shared" ref="BE120:BE125" si="311">+BD120*C120</f>
        <v>46107.643898550581</v>
      </c>
      <c r="BF120" s="56"/>
      <c r="BG120" s="62">
        <f t="shared" ref="BG120:BG124" si="312">+(G120+U120+W120)*12</f>
        <v>885081.29999999993</v>
      </c>
      <c r="BH120" s="62">
        <f>+AP120</f>
        <v>125704.40463470318</v>
      </c>
      <c r="BI120" s="62">
        <f t="shared" si="213"/>
        <v>1010785.7046347031</v>
      </c>
      <c r="BJ120" s="55">
        <f t="shared" si="214"/>
        <v>264517.98977579904</v>
      </c>
      <c r="BK120" s="55">
        <f>+AT120*12</f>
        <v>224076.77759999997</v>
      </c>
      <c r="BL120" s="55">
        <f t="shared" ref="BL120:BL124" si="313">+BJ120-BK120</f>
        <v>40441.212175799068</v>
      </c>
      <c r="BM120" s="55">
        <f t="shared" ref="BM120:BM124" si="314">+BL120*C120</f>
        <v>40441.212175799068</v>
      </c>
      <c r="BN120" s="67"/>
    </row>
    <row r="121" spans="2:66" x14ac:dyDescent="0.2">
      <c r="B121" s="95" t="s">
        <v>177</v>
      </c>
      <c r="C121" s="64">
        <v>1</v>
      </c>
      <c r="D121" s="65">
        <v>33058</v>
      </c>
      <c r="E121" s="64"/>
      <c r="F121" s="65">
        <v>10909.140000000001</v>
      </c>
      <c r="G121" s="65">
        <v>33058</v>
      </c>
      <c r="H121" s="65">
        <v>33058</v>
      </c>
      <c r="I121" s="65">
        <v>396696</v>
      </c>
      <c r="J121" s="65">
        <v>5022.0955847031955</v>
      </c>
      <c r="K121" s="65">
        <v>953.33108538812769</v>
      </c>
      <c r="L121" s="65">
        <v>5975.4266700913231</v>
      </c>
      <c r="M121" s="65">
        <v>59754.266700913227</v>
      </c>
      <c r="N121" s="65">
        <v>16363.710000000003</v>
      </c>
      <c r="O121" s="65">
        <v>16363.710000000003</v>
      </c>
      <c r="P121" s="65">
        <v>17246.903010273963</v>
      </c>
      <c r="Q121" s="65">
        <v>14986.399130000002</v>
      </c>
      <c r="R121" s="65">
        <v>11900.880000000001</v>
      </c>
      <c r="S121" s="65">
        <v>69421.799999999988</v>
      </c>
      <c r="T121" s="65">
        <v>7933.92</v>
      </c>
      <c r="U121" s="65">
        <v>709.85474999999997</v>
      </c>
      <c r="V121" s="65">
        <v>8518.2569999999996</v>
      </c>
      <c r="W121" s="65">
        <v>709.85474999999997</v>
      </c>
      <c r="X121" s="65">
        <v>8518.2569999999996</v>
      </c>
      <c r="Y121" s="65">
        <v>0</v>
      </c>
      <c r="Z121" s="65">
        <v>16529</v>
      </c>
      <c r="AA121" s="3"/>
      <c r="AB121" s="42">
        <f>+G121/30</f>
        <v>1101.9333333333334</v>
      </c>
      <c r="AC121" s="60">
        <f>IF(((U121/30)&lt;$AH$4),0,((U121/30)-$AH$4))</f>
        <v>0</v>
      </c>
      <c r="AD121" s="61">
        <f>+AB121+AC121</f>
        <v>1101.9333333333334</v>
      </c>
      <c r="AE121" s="61">
        <f>IF((AD121*$AH$3)&gt;$AI$6,$AI$6,(AD121*$AH$3))</f>
        <v>1267.9780821917809</v>
      </c>
      <c r="AF121" s="62">
        <f>+$AL$1*$AL$2*$AF$9</f>
        <v>5620.9853999999996</v>
      </c>
      <c r="AG121" s="62">
        <f>+IF(AE121&gt;($AH$6*3),(AE121-($AH$6*3))*$AG$8,0)*$AG$9</f>
        <v>4181.6549500000001</v>
      </c>
      <c r="AH121" s="62">
        <f>+IF(AE121&gt;($AH$6*3),(AE121-($AH$6*3))*$AH$8,0)*$AH$9</f>
        <v>1520.6017999999999</v>
      </c>
      <c r="AI121" s="62">
        <f>+(AE121*$AI$9)*$AI$8</f>
        <v>3663.1569800000007</v>
      </c>
      <c r="AJ121" s="62">
        <f>+AF121+AG121+AI121</f>
        <v>13465.797330000001</v>
      </c>
      <c r="AK121" s="62">
        <f>+AH121</f>
        <v>1520.6017999999999</v>
      </c>
      <c r="AL121" s="62">
        <f>+AJ121+AK121</f>
        <v>14986.399130000002</v>
      </c>
      <c r="AN121" s="27">
        <f>+AT121*C121</f>
        <v>6664.2108499999986</v>
      </c>
      <c r="AP121" s="66">
        <f t="shared" si="301"/>
        <v>57489.56670091323</v>
      </c>
      <c r="AQ121" s="55">
        <f t="shared" si="302"/>
        <v>4788.1721307061971</v>
      </c>
      <c r="AR121" s="16">
        <f t="shared" si="303"/>
        <v>39265.881630706193</v>
      </c>
      <c r="AS121" s="55">
        <f t="shared" si="304"/>
        <v>8100.662489211858</v>
      </c>
      <c r="AT121" s="55">
        <f t="shared" si="305"/>
        <v>6664.2108499999986</v>
      </c>
      <c r="AU121" s="55">
        <f t="shared" si="306"/>
        <v>1436.4516392118594</v>
      </c>
      <c r="AV121" s="16">
        <f t="shared" si="307"/>
        <v>44054.05376141239</v>
      </c>
      <c r="AW121" s="56">
        <f t="shared" si="308"/>
        <v>0.30000000000000004</v>
      </c>
      <c r="AX121" s="62">
        <f t="shared" si="309"/>
        <v>17246.870010273971</v>
      </c>
      <c r="AY121" s="62">
        <f t="shared" si="310"/>
        <v>17246.870010273971</v>
      </c>
      <c r="AZ121" s="16"/>
      <c r="BA121" s="16">
        <f>+AP121+AR121</f>
        <v>96755.448331619424</v>
      </c>
      <c r="BB121" s="55">
        <f>((BA121-VLOOKUP(BA121,$BO$17:$BR$39,1))*VLOOKUP(BA121,$BO$17:$BR$39,4)+VLOOKUP(BA121,$BO$17:$BR$39,3))-VLOOKUP(BA121,$BT$17:$BV$39,3)</f>
        <v>26301.086832750603</v>
      </c>
      <c r="BC121" s="55">
        <f>+AT121</f>
        <v>6664.2108499999986</v>
      </c>
      <c r="BD121" s="55">
        <f>+BB121-BC121</f>
        <v>19636.875982750604</v>
      </c>
      <c r="BE121" s="55">
        <f t="shared" si="311"/>
        <v>19636.875982750604</v>
      </c>
      <c r="BF121" s="56"/>
      <c r="BG121" s="62">
        <f t="shared" si="312"/>
        <v>413732.51399999997</v>
      </c>
      <c r="BH121" s="62">
        <f>+AP121</f>
        <v>57489.56670091323</v>
      </c>
      <c r="BI121" s="62">
        <f t="shared" si="213"/>
        <v>471222.08070091321</v>
      </c>
      <c r="BJ121" s="55">
        <f t="shared" si="214"/>
        <v>97217.433210273943</v>
      </c>
      <c r="BK121" s="55">
        <f>+AT121*12</f>
        <v>79970.530199999979</v>
      </c>
      <c r="BL121" s="55">
        <f t="shared" si="313"/>
        <v>17246.903010273963</v>
      </c>
      <c r="BM121" s="55">
        <f t="shared" si="314"/>
        <v>17246.903010273963</v>
      </c>
      <c r="BN121" s="67"/>
    </row>
    <row r="122" spans="2:66" x14ac:dyDescent="0.2">
      <c r="B122" s="63" t="s">
        <v>178</v>
      </c>
      <c r="C122" s="64">
        <v>1</v>
      </c>
      <c r="D122" s="65">
        <v>33058</v>
      </c>
      <c r="E122" s="64"/>
      <c r="F122" s="65">
        <v>10909.140000000001</v>
      </c>
      <c r="G122" s="65">
        <v>33058</v>
      </c>
      <c r="H122" s="65">
        <v>33058</v>
      </c>
      <c r="I122" s="65">
        <v>396696</v>
      </c>
      <c r="J122" s="65">
        <v>5022.0955847031955</v>
      </c>
      <c r="K122" s="65">
        <v>953.33108538812769</v>
      </c>
      <c r="L122" s="65">
        <v>5975.4266700913231</v>
      </c>
      <c r="M122" s="65">
        <v>59754.266700913227</v>
      </c>
      <c r="N122" s="65">
        <v>16363.710000000003</v>
      </c>
      <c r="O122" s="65">
        <v>16363.710000000003</v>
      </c>
      <c r="P122" s="65">
        <v>17246.903010273963</v>
      </c>
      <c r="Q122" s="65">
        <v>14986.399130000002</v>
      </c>
      <c r="R122" s="65">
        <v>11900.880000000001</v>
      </c>
      <c r="S122" s="65">
        <v>69421.799999999988</v>
      </c>
      <c r="T122" s="65">
        <v>7933.92</v>
      </c>
      <c r="U122" s="65">
        <v>709.85474999999997</v>
      </c>
      <c r="V122" s="65">
        <v>8518.2569999999996</v>
      </c>
      <c r="W122" s="65">
        <v>709.85474999999997</v>
      </c>
      <c r="X122" s="65">
        <v>8518.2569999999996</v>
      </c>
      <c r="Y122" s="65">
        <v>0</v>
      </c>
      <c r="Z122" s="65">
        <v>16529</v>
      </c>
      <c r="AA122" s="3"/>
      <c r="AB122" s="42">
        <f>+G122/30</f>
        <v>1101.9333333333334</v>
      </c>
      <c r="AC122" s="60">
        <f>IF(((U122/30)&lt;$AH$4),0,((U122/30)-$AH$4))</f>
        <v>0</v>
      </c>
      <c r="AD122" s="61">
        <f>+AB122+AC122</f>
        <v>1101.9333333333334</v>
      </c>
      <c r="AE122" s="61">
        <f>IF((AD122*$AH$3)&gt;$AI$6,$AI$6,(AD122*$AH$3))</f>
        <v>1267.9780821917809</v>
      </c>
      <c r="AF122" s="62">
        <f>+$AL$1*$AL$2*$AF$9</f>
        <v>5620.9853999999996</v>
      </c>
      <c r="AG122" s="62">
        <f>+IF(AE122&gt;($AH$6*3),(AE122-($AH$6*3))*$AG$8,0)*$AG$9</f>
        <v>4181.6549500000001</v>
      </c>
      <c r="AH122" s="62">
        <f>+IF(AE122&gt;($AH$6*3),(AE122-($AH$6*3))*$AH$8,0)*$AH$9</f>
        <v>1520.6017999999999</v>
      </c>
      <c r="AI122" s="62">
        <f>+(AE122*$AI$9)*$AI$8</f>
        <v>3663.1569800000007</v>
      </c>
      <c r="AJ122" s="62">
        <f>+AF122+AG122+AI122</f>
        <v>13465.797330000001</v>
      </c>
      <c r="AK122" s="62">
        <f>+AH122</f>
        <v>1520.6017999999999</v>
      </c>
      <c r="AL122" s="62">
        <f>+AJ122+AK122</f>
        <v>14986.399130000002</v>
      </c>
      <c r="AN122" s="27">
        <f>+AT122*C122</f>
        <v>6664.2108499999986</v>
      </c>
      <c r="AP122" s="66">
        <f t="shared" si="301"/>
        <v>57489.56670091323</v>
      </c>
      <c r="AQ122" s="55">
        <f t="shared" si="302"/>
        <v>4788.1721307061971</v>
      </c>
      <c r="AR122" s="16">
        <f t="shared" si="303"/>
        <v>39265.881630706193</v>
      </c>
      <c r="AS122" s="55">
        <f t="shared" si="304"/>
        <v>8100.662489211858</v>
      </c>
      <c r="AT122" s="55">
        <f t="shared" si="305"/>
        <v>6664.2108499999986</v>
      </c>
      <c r="AU122" s="55">
        <f t="shared" si="306"/>
        <v>1436.4516392118594</v>
      </c>
      <c r="AV122" s="16">
        <f t="shared" si="307"/>
        <v>44054.05376141239</v>
      </c>
      <c r="AW122" s="56">
        <f t="shared" si="308"/>
        <v>0.30000000000000004</v>
      </c>
      <c r="AX122" s="62">
        <f t="shared" si="309"/>
        <v>17246.870010273971</v>
      </c>
      <c r="AY122" s="62">
        <f t="shared" si="310"/>
        <v>17246.870010273971</v>
      </c>
      <c r="AZ122" s="16"/>
      <c r="BA122" s="16">
        <f>+AP122+AR122</f>
        <v>96755.448331619424</v>
      </c>
      <c r="BB122" s="55">
        <f>((BA122-VLOOKUP(BA122,$BO$17:$BR$39,1))*VLOOKUP(BA122,$BO$17:$BR$39,4)+VLOOKUP(BA122,$BO$17:$BR$39,3))-VLOOKUP(BA122,$BT$17:$BV$39,3)</f>
        <v>26301.086832750603</v>
      </c>
      <c r="BC122" s="55">
        <f>+AT122</f>
        <v>6664.2108499999986</v>
      </c>
      <c r="BD122" s="55">
        <f>+BB122-BC122</f>
        <v>19636.875982750604</v>
      </c>
      <c r="BE122" s="55">
        <f t="shared" si="311"/>
        <v>19636.875982750604</v>
      </c>
      <c r="BF122" s="56"/>
      <c r="BG122" s="62">
        <f t="shared" si="312"/>
        <v>413732.51399999997</v>
      </c>
      <c r="BH122" s="62">
        <f>+AP122</f>
        <v>57489.56670091323</v>
      </c>
      <c r="BI122" s="62">
        <f t="shared" si="213"/>
        <v>471222.08070091321</v>
      </c>
      <c r="BJ122" s="55">
        <f t="shared" si="214"/>
        <v>97217.433210273943</v>
      </c>
      <c r="BK122" s="55">
        <f>+AT122*12</f>
        <v>79970.530199999979</v>
      </c>
      <c r="BL122" s="55">
        <f t="shared" si="313"/>
        <v>17246.903010273963</v>
      </c>
      <c r="BM122" s="55">
        <f t="shared" si="314"/>
        <v>17246.903010273963</v>
      </c>
      <c r="BN122" s="67"/>
    </row>
    <row r="123" spans="2:66" x14ac:dyDescent="0.2">
      <c r="B123" s="95" t="s">
        <v>179</v>
      </c>
      <c r="C123" s="64">
        <v>2</v>
      </c>
      <c r="D123" s="65">
        <v>25429</v>
      </c>
      <c r="E123" s="64"/>
      <c r="F123" s="65">
        <v>8391.57</v>
      </c>
      <c r="G123" s="65">
        <v>25429</v>
      </c>
      <c r="H123" s="65">
        <v>50858</v>
      </c>
      <c r="I123" s="65">
        <v>610296</v>
      </c>
      <c r="J123" s="65">
        <v>3941.8591004908681</v>
      </c>
      <c r="K123" s="65">
        <v>744.67984134703181</v>
      </c>
      <c r="L123" s="65">
        <v>9373.0778836758</v>
      </c>
      <c r="M123" s="65">
        <v>93730.778836757992</v>
      </c>
      <c r="N123" s="65">
        <v>12587.355</v>
      </c>
      <c r="O123" s="65">
        <v>25174.71</v>
      </c>
      <c r="P123" s="65">
        <v>20980.216046405461</v>
      </c>
      <c r="Q123" s="65">
        <v>25077.879279999997</v>
      </c>
      <c r="R123" s="65">
        <v>18308.88</v>
      </c>
      <c r="S123" s="65">
        <v>106801.79999999999</v>
      </c>
      <c r="T123" s="65">
        <v>12205.92</v>
      </c>
      <c r="U123" s="65">
        <v>816.33296249999989</v>
      </c>
      <c r="V123" s="65">
        <v>19591.991099999999</v>
      </c>
      <c r="W123" s="65">
        <v>816.33296249999989</v>
      </c>
      <c r="X123" s="65">
        <v>19591.991099999999</v>
      </c>
      <c r="Y123" s="65">
        <v>0</v>
      </c>
      <c r="Z123" s="65">
        <v>25429</v>
      </c>
      <c r="AA123" s="3"/>
      <c r="AB123" s="42">
        <f>+G123/30</f>
        <v>847.63333333333333</v>
      </c>
      <c r="AC123" s="60">
        <f>IF(((U123/30)&lt;$AH$4),0,((U123/30)-$AH$4))</f>
        <v>0</v>
      </c>
      <c r="AD123" s="61">
        <f>+AB123+AC123</f>
        <v>847.63333333333333</v>
      </c>
      <c r="AE123" s="61">
        <f>IF((AD123*$AH$3)&gt;$AI$6,$AI$6,(AD123*$AH$3))</f>
        <v>975.35890410958893</v>
      </c>
      <c r="AF123" s="62">
        <f>+$AL$1*$AL$2*$AF$9</f>
        <v>5620.9853999999996</v>
      </c>
      <c r="AG123" s="62">
        <f>+IF(AE123&gt;($AH$6*3),(AE123-($AH$6*3))*$AG$8,0)*$AG$9</f>
        <v>3006.7889500000001</v>
      </c>
      <c r="AH123" s="62">
        <f>+IF(AE123&gt;($AH$6*3),(AE123-($AH$6*3))*$AH$8,0)*$AH$9</f>
        <v>1093.3778</v>
      </c>
      <c r="AI123" s="62">
        <f>+(AE123*$AI$9)*$AI$8</f>
        <v>2817.7874899999997</v>
      </c>
      <c r="AJ123" s="62">
        <f>+AF123+AG123+AI123</f>
        <v>11445.561839999998</v>
      </c>
      <c r="AK123" s="62">
        <f>+AH123</f>
        <v>1093.3778</v>
      </c>
      <c r="AL123" s="62">
        <f>+AJ123+AK123</f>
        <v>12538.939639999999</v>
      </c>
      <c r="AN123" s="27">
        <f>+AT123*C123</f>
        <v>9614.2985311200009</v>
      </c>
      <c r="AP123" s="66">
        <f t="shared" si="301"/>
        <v>44600.689418378999</v>
      </c>
      <c r="AQ123" s="55">
        <f t="shared" si="302"/>
        <v>3714.6875570375933</v>
      </c>
      <c r="AR123" s="16">
        <f t="shared" si="303"/>
        <v>30776.353482037593</v>
      </c>
      <c r="AS123" s="55">
        <f t="shared" si="304"/>
        <v>5680.8437789752425</v>
      </c>
      <c r="AT123" s="55">
        <f t="shared" si="305"/>
        <v>4807.1492655600005</v>
      </c>
      <c r="AU123" s="55">
        <f t="shared" si="306"/>
        <v>873.694513415242</v>
      </c>
      <c r="AV123" s="16">
        <f t="shared" si="307"/>
        <v>34491.041039075186</v>
      </c>
      <c r="AW123" s="56">
        <f t="shared" si="308"/>
        <v>0.23520000000000002</v>
      </c>
      <c r="AX123" s="62">
        <f t="shared" si="309"/>
        <v>10490.082151202741</v>
      </c>
      <c r="AY123" s="62">
        <f t="shared" si="310"/>
        <v>20980.164302405483</v>
      </c>
      <c r="AZ123" s="16"/>
      <c r="BA123" s="16">
        <f>+AP123+AR123</f>
        <v>75377.042900416593</v>
      </c>
      <c r="BB123" s="55">
        <f>((BA123-VLOOKUP(BA123,$BO$17:$BR$39,1))*VLOOKUP(BA123,$BO$17:$BR$39,4)+VLOOKUP(BA123,$BO$17:$BR$39,3))-VLOOKUP(BA123,$BT$17:$BV$39,3)</f>
        <v>19191.55052813331</v>
      </c>
      <c r="BC123" s="55">
        <f>+AT123</f>
        <v>4807.1492655600005</v>
      </c>
      <c r="BD123" s="55">
        <f>+BB123-BC123</f>
        <v>14384.401262573308</v>
      </c>
      <c r="BE123" s="55">
        <f t="shared" si="311"/>
        <v>28768.802525146617</v>
      </c>
      <c r="BF123" s="56"/>
      <c r="BG123" s="62">
        <f t="shared" si="312"/>
        <v>324739.99109999998</v>
      </c>
      <c r="BH123" s="62">
        <f>+AP123</f>
        <v>44600.689418378999</v>
      </c>
      <c r="BI123" s="62">
        <f t="shared" si="213"/>
        <v>369340.68051837897</v>
      </c>
      <c r="BJ123" s="55">
        <f t="shared" si="214"/>
        <v>68175.899209922733</v>
      </c>
      <c r="BK123" s="55">
        <f>+AT123*12</f>
        <v>57685.791186720002</v>
      </c>
      <c r="BL123" s="55">
        <f t="shared" si="313"/>
        <v>10490.108023202731</v>
      </c>
      <c r="BM123" s="55">
        <f t="shared" si="314"/>
        <v>20980.216046405461</v>
      </c>
      <c r="BN123" s="67"/>
    </row>
    <row r="124" spans="2:66" x14ac:dyDescent="0.2">
      <c r="B124" s="95" t="s">
        <v>135</v>
      </c>
      <c r="C124" s="64">
        <v>1</v>
      </c>
      <c r="D124" s="65">
        <v>14000</v>
      </c>
      <c r="E124" s="64"/>
      <c r="F124" s="65">
        <v>4620</v>
      </c>
      <c r="G124" s="65">
        <v>14000</v>
      </c>
      <c r="H124" s="65">
        <v>14000</v>
      </c>
      <c r="I124" s="65">
        <v>168000</v>
      </c>
      <c r="J124" s="65">
        <v>2413.832044460331</v>
      </c>
      <c r="K124" s="65">
        <v>445.11719007591324</v>
      </c>
      <c r="L124" s="65">
        <v>2858.9492345362441</v>
      </c>
      <c r="M124" s="65">
        <v>28589.492345362443</v>
      </c>
      <c r="N124" s="65">
        <v>6930</v>
      </c>
      <c r="O124" s="65">
        <v>6930</v>
      </c>
      <c r="P124" s="65">
        <v>5622.9991409694267</v>
      </c>
      <c r="Q124" s="65">
        <v>8994.2600370769069</v>
      </c>
      <c r="R124" s="65">
        <v>5040</v>
      </c>
      <c r="S124" s="65">
        <v>29400</v>
      </c>
      <c r="T124" s="65">
        <v>3360</v>
      </c>
      <c r="U124" s="65">
        <v>1285.7244159375</v>
      </c>
      <c r="V124" s="65">
        <v>15428.69299125</v>
      </c>
      <c r="W124" s="65">
        <v>1285.7244159375</v>
      </c>
      <c r="X124" s="65">
        <v>15428.69299125</v>
      </c>
      <c r="Y124" s="65">
        <v>0</v>
      </c>
      <c r="Z124" s="65">
        <v>7000</v>
      </c>
      <c r="AA124" s="3"/>
      <c r="AB124" s="42">
        <f>+G124/30</f>
        <v>466.66666666666669</v>
      </c>
      <c r="AC124" s="60">
        <f>IF(((U124/30)&lt;$AH$4),0,((U124/30)-$AH$4))</f>
        <v>12.66148053125</v>
      </c>
      <c r="AD124" s="61">
        <f>+AB124+AC124</f>
        <v>479.32814719791668</v>
      </c>
      <c r="AE124" s="61">
        <f>IF((AD124*$AH$3)&gt;$AI$6,$AI$6,(AD124*$AH$3))</f>
        <v>551.5556762277397</v>
      </c>
      <c r="AF124" s="62">
        <f>+$AL$1*$AL$2*$AF$9</f>
        <v>5620.9853999999996</v>
      </c>
      <c r="AG124" s="62">
        <f>+IF(AE124&gt;($AH$6*3),(AE124-($AH$6*3))*$AG$8,0)*$AG$9</f>
        <v>1305.2189900543749</v>
      </c>
      <c r="AH124" s="62">
        <f>+IF(AE124&gt;($AH$6*3),(AE124-($AH$6*3))*$AH$8,0)*$AH$9</f>
        <v>474.62508729249998</v>
      </c>
      <c r="AI124" s="62">
        <f>+(AE124*$AI$9)*$AI$8</f>
        <v>1593.4305597300342</v>
      </c>
      <c r="AJ124" s="62">
        <f>+AF124+AG124+AI124</f>
        <v>8519.6349497844076</v>
      </c>
      <c r="AK124" s="62">
        <f>+AH124</f>
        <v>474.62508729249998</v>
      </c>
      <c r="AL124" s="62">
        <f>+AJ124+AK124</f>
        <v>8994.2600370769069</v>
      </c>
      <c r="AN124" s="27">
        <f>+AT124*C124</f>
        <v>2430.5417744884999</v>
      </c>
      <c r="AP124" s="66">
        <f t="shared" si="301"/>
        <v>26324.792345362443</v>
      </c>
      <c r="AQ124" s="55">
        <f t="shared" si="302"/>
        <v>2192.5306501342966</v>
      </c>
      <c r="AR124" s="16">
        <f t="shared" si="303"/>
        <v>18763.979482009297</v>
      </c>
      <c r="AS124" s="55">
        <f t="shared" si="304"/>
        <v>2898.8663213571858</v>
      </c>
      <c r="AT124" s="55">
        <f t="shared" si="305"/>
        <v>2430.5417744884999</v>
      </c>
      <c r="AU124" s="55">
        <f t="shared" si="306"/>
        <v>468.32454686868596</v>
      </c>
      <c r="AV124" s="16">
        <f t="shared" si="307"/>
        <v>20956.510132143594</v>
      </c>
      <c r="AW124" s="56">
        <f t="shared" si="308"/>
        <v>0.2136000000000001</v>
      </c>
      <c r="AX124" s="62">
        <f t="shared" si="309"/>
        <v>5622.9756449694205</v>
      </c>
      <c r="AY124" s="62">
        <f t="shared" si="310"/>
        <v>5622.9756449694205</v>
      </c>
      <c r="AZ124" s="16"/>
      <c r="BA124" s="16">
        <f>+AP124+AR124</f>
        <v>45088.77182737174</v>
      </c>
      <c r="BB124" s="55">
        <f>((BA124-VLOOKUP(BA124,$BO$17:$BR$39,1))*VLOOKUP(BA124,$BO$17:$BR$39,4)+VLOOKUP(BA124,$BO$17:$BR$39,3))-VLOOKUP(BA124,$BT$17:$BV$39,3)</f>
        <v>9847.5295482115216</v>
      </c>
      <c r="BC124" s="55">
        <f>+AT124</f>
        <v>2430.5417744884999</v>
      </c>
      <c r="BD124" s="55">
        <f>+BB124-BC124</f>
        <v>7416.9877737230217</v>
      </c>
      <c r="BE124" s="55">
        <f t="shared" si="311"/>
        <v>7416.9877737230217</v>
      </c>
      <c r="BF124" s="56"/>
      <c r="BG124" s="62">
        <f t="shared" si="312"/>
        <v>198857.38598250001</v>
      </c>
      <c r="BH124" s="62">
        <f>+AP124</f>
        <v>26324.792345362443</v>
      </c>
      <c r="BI124" s="62">
        <f t="shared" si="213"/>
        <v>225182.17832786246</v>
      </c>
      <c r="BJ124" s="55">
        <f t="shared" si="214"/>
        <v>34789.500434831425</v>
      </c>
      <c r="BK124" s="55">
        <f>+AT124*12</f>
        <v>29166.501293861998</v>
      </c>
      <c r="BL124" s="55">
        <f t="shared" si="313"/>
        <v>5622.9991409694267</v>
      </c>
      <c r="BM124" s="55">
        <f t="shared" si="314"/>
        <v>5622.9991409694267</v>
      </c>
      <c r="BN124" s="67"/>
    </row>
    <row r="125" spans="2:66" x14ac:dyDescent="0.2">
      <c r="B125" s="75" t="s">
        <v>91</v>
      </c>
      <c r="C125" s="76">
        <v>6</v>
      </c>
      <c r="D125" s="100">
        <v>178273</v>
      </c>
      <c r="E125" s="76"/>
      <c r="F125" s="100"/>
      <c r="G125" s="100">
        <v>178273</v>
      </c>
      <c r="H125" s="100">
        <v>203702</v>
      </c>
      <c r="I125" s="100">
        <v>2444424</v>
      </c>
      <c r="J125" s="100"/>
      <c r="K125" s="100"/>
      <c r="L125" s="100">
        <v>36979.790921865009</v>
      </c>
      <c r="M125" s="100">
        <v>369797.90921865008</v>
      </c>
      <c r="N125" s="100"/>
      <c r="O125" s="100">
        <v>100832.49000000002</v>
      </c>
      <c r="P125" s="100">
        <v>101538.23338372188</v>
      </c>
      <c r="Q125" s="100">
        <v>84210.911545826908</v>
      </c>
      <c r="R125" s="100">
        <v>73332.720000000016</v>
      </c>
      <c r="S125" s="100">
        <v>427774.19999999995</v>
      </c>
      <c r="T125" s="100">
        <v>45021.96</v>
      </c>
      <c r="U125" s="100">
        <v>4036.1543784374999</v>
      </c>
      <c r="V125" s="100">
        <v>58229.848091249994</v>
      </c>
      <c r="W125" s="100">
        <v>4036.1543784374999</v>
      </c>
      <c r="X125" s="100">
        <v>58229.848091249994</v>
      </c>
      <c r="Y125" s="100">
        <v>0</v>
      </c>
      <c r="Z125" s="100">
        <v>65487</v>
      </c>
      <c r="AA125" s="42"/>
      <c r="AB125" s="42"/>
      <c r="AC125" s="60"/>
      <c r="AD125" s="61"/>
      <c r="AE125" s="61"/>
      <c r="AF125" s="62"/>
      <c r="AG125" s="62"/>
      <c r="AH125" s="62"/>
      <c r="AI125" s="62"/>
      <c r="AJ125" s="62"/>
      <c r="AK125" s="62"/>
      <c r="AL125" s="62"/>
      <c r="AN125" s="27"/>
      <c r="AP125" s="55"/>
      <c r="AQ125" s="55"/>
      <c r="AR125" s="16"/>
      <c r="AS125" s="16"/>
      <c r="AT125" s="55"/>
      <c r="AU125" s="55"/>
      <c r="AV125" s="55"/>
      <c r="AW125" s="93"/>
      <c r="AX125" s="62"/>
      <c r="AY125" s="62"/>
      <c r="AZ125" s="16"/>
      <c r="BA125" s="16"/>
      <c r="BB125" s="55"/>
      <c r="BC125" s="55"/>
      <c r="BD125" s="55"/>
      <c r="BE125" s="55">
        <f t="shared" si="311"/>
        <v>0</v>
      </c>
      <c r="BF125" s="56"/>
      <c r="BG125" s="62"/>
      <c r="BH125" s="62"/>
      <c r="BI125" s="62"/>
      <c r="BJ125" s="55"/>
      <c r="BK125" s="55"/>
      <c r="BL125" s="55"/>
      <c r="BM125" s="55"/>
      <c r="BN125" s="67"/>
    </row>
    <row r="126" spans="2:66" x14ac:dyDescent="0.2">
      <c r="B126" s="118" t="s">
        <v>180</v>
      </c>
      <c r="C126" s="119"/>
      <c r="D126" s="65"/>
      <c r="E126" s="119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42"/>
      <c r="AB126" s="42"/>
      <c r="AC126" s="60"/>
      <c r="AD126" s="61"/>
      <c r="AE126" s="61"/>
      <c r="AF126" s="62"/>
      <c r="AG126" s="62"/>
      <c r="AH126" s="62"/>
      <c r="AI126" s="62"/>
      <c r="AJ126" s="62"/>
      <c r="AK126" s="62"/>
      <c r="AL126" s="62"/>
      <c r="AN126" s="27"/>
      <c r="AP126" s="55"/>
      <c r="AQ126" s="55"/>
      <c r="AR126" s="16"/>
      <c r="AS126" s="16"/>
      <c r="AT126" s="55"/>
      <c r="AU126" s="55"/>
      <c r="AV126" s="55"/>
      <c r="AW126" s="93"/>
      <c r="AX126" s="62"/>
      <c r="AY126" s="62"/>
      <c r="AZ126" s="16"/>
      <c r="BA126" s="16"/>
      <c r="BB126" s="55"/>
      <c r="BC126" s="55"/>
      <c r="BD126" s="55"/>
      <c r="BE126" s="55"/>
      <c r="BF126" s="56"/>
      <c r="BG126" s="62"/>
      <c r="BH126" s="62"/>
      <c r="BI126" s="62"/>
      <c r="BJ126" s="55"/>
      <c r="BK126" s="55"/>
      <c r="BL126" s="55"/>
      <c r="BM126" s="55"/>
      <c r="BN126" s="67"/>
    </row>
    <row r="127" spans="2:66" x14ac:dyDescent="0.2">
      <c r="B127" s="95" t="s">
        <v>156</v>
      </c>
      <c r="C127" s="64">
        <v>1</v>
      </c>
      <c r="D127" s="65">
        <v>72728</v>
      </c>
      <c r="E127" s="64"/>
      <c r="F127" s="65">
        <v>24000.240000000002</v>
      </c>
      <c r="G127" s="65">
        <v>72728</v>
      </c>
      <c r="H127" s="65">
        <v>72728</v>
      </c>
      <c r="I127" s="65">
        <v>872736</v>
      </c>
      <c r="J127" s="65">
        <v>10743.566769406392</v>
      </c>
      <c r="K127" s="65">
        <v>2053.3436940639267</v>
      </c>
      <c r="L127" s="65">
        <v>12796.910463470318</v>
      </c>
      <c r="M127" s="65">
        <v>127969.10463470318</v>
      </c>
      <c r="N127" s="65">
        <v>36000.36</v>
      </c>
      <c r="O127" s="65">
        <v>36000.36</v>
      </c>
      <c r="P127" s="65">
        <v>40441.212175799068</v>
      </c>
      <c r="Q127" s="65">
        <v>20165.973968749997</v>
      </c>
      <c r="R127" s="65">
        <v>26182.080000000002</v>
      </c>
      <c r="S127" s="65">
        <v>152728.79999999999</v>
      </c>
      <c r="T127" s="65">
        <v>13588.199999999999</v>
      </c>
      <c r="U127" s="65">
        <v>514.38750000000005</v>
      </c>
      <c r="V127" s="65">
        <v>6172.6500000000005</v>
      </c>
      <c r="W127" s="65">
        <v>514.38750000000005</v>
      </c>
      <c r="X127" s="65">
        <v>6172.6500000000005</v>
      </c>
      <c r="Y127" s="65">
        <v>0</v>
      </c>
      <c r="Z127" s="65">
        <v>0</v>
      </c>
      <c r="AA127" s="3"/>
      <c r="AB127" s="42">
        <f>+G127/30</f>
        <v>2424.2666666666669</v>
      </c>
      <c r="AC127" s="60">
        <f>IF(((U127/30)&lt;$AH$4),0,((U127/30)-$AH$4))</f>
        <v>0</v>
      </c>
      <c r="AD127" s="61">
        <f>+AB127+AC127</f>
        <v>2424.2666666666669</v>
      </c>
      <c r="AE127" s="61">
        <f>IF((AD127*$AH$3)&gt;$AI$6,$AI$6,(AD127*$AH$3))</f>
        <v>1887.2499999999998</v>
      </c>
      <c r="AF127" s="62">
        <f>+$AL$1*$AL$2*$AF$9</f>
        <v>5620.9853999999996</v>
      </c>
      <c r="AG127" s="62">
        <f>+IF(AE127&gt;($AH$6*3),(AE127-($AH$6*3))*$AG$8,0)*$AG$9</f>
        <v>6668.0316999999986</v>
      </c>
      <c r="AH127" s="62">
        <f>+IF(AE127&gt;($AH$6*3),(AE127-($AH$6*3))*$AH$8,0)*$AH$9</f>
        <v>2424.7387999999996</v>
      </c>
      <c r="AI127" s="62">
        <f>+(AE127*$AI$9)*$AI$8</f>
        <v>5452.2180687499995</v>
      </c>
      <c r="AJ127" s="62">
        <f>+AF127+AG127+AI127</f>
        <v>17741.235168749998</v>
      </c>
      <c r="AK127" s="62">
        <f>+AH127</f>
        <v>2424.7387999999996</v>
      </c>
      <c r="AL127" s="62">
        <f>+AJ127+AK127</f>
        <v>20165.973968749997</v>
      </c>
      <c r="AN127" s="27">
        <f>+AT127*C127</f>
        <v>18673.064799999996</v>
      </c>
      <c r="AP127" s="66">
        <f t="shared" ref="AP127:AP130" si="315">+((M127/C127)-($AL$2*30))</f>
        <v>125704.40463470318</v>
      </c>
      <c r="AQ127" s="55">
        <f t="shared" ref="AQ127:AQ130" si="316">+AP127/365*30.4</f>
        <v>10469.627125739662</v>
      </c>
      <c r="AR127" s="16">
        <f t="shared" ref="AR127:AR130" si="317">+G127+U127+W127+AQ127</f>
        <v>84226.402125739653</v>
      </c>
      <c r="AS127" s="55">
        <f t="shared" ref="AS127:AS130" si="318">((AR127-VLOOKUP(AR127,$BO$17:$BR$39,1))*VLOOKUP(AR127,$BO$17:$BR$39,4)+VLOOKUP(AR127,$BO$17:$BR$39,3))-VLOOKUP(AR127,$BT$17:$BV$39,3)</f>
        <v>22041.211122751483</v>
      </c>
      <c r="AT127" s="55">
        <f t="shared" ref="AT127:AT130" si="319">(((G127+U127+W127)-VLOOKUP((G127+U127+W127),$BO$17:$BR$39,1))*VLOOKUP((G127+U127+W127),$BO$17:$BR$39,4)+VLOOKUP((G127+U127+W127),$BO$17:$BR$39,3))-VLOOKUP((G127+U127+W127),$BT$17:$BV$39,3)</f>
        <v>18673.064799999996</v>
      </c>
      <c r="AU127" s="55">
        <f t="shared" ref="AU127:AU130" si="320">+AS127-AT127</f>
        <v>3368.1463227514869</v>
      </c>
      <c r="AV127" s="16">
        <f t="shared" ref="AV127:AV130" si="321">+AR127+AQ127</f>
        <v>94696.029251479311</v>
      </c>
      <c r="AW127" s="56">
        <f t="shared" ref="AW127:AW130" si="322">+(AU127/AQ127)</f>
        <v>0.3217064258640952</v>
      </c>
      <c r="AX127" s="62">
        <f t="shared" ref="AX127:AX130" si="323">+AP127*AW127</f>
        <v>40439.914730404365</v>
      </c>
      <c r="AY127" s="62">
        <f t="shared" ref="AY127:AY130" si="324">+AX127*C127</f>
        <v>40439.914730404365</v>
      </c>
      <c r="AZ127" s="16"/>
      <c r="BA127" s="16">
        <f>+AP127+AR127</f>
        <v>209930.80676044285</v>
      </c>
      <c r="BB127" s="55">
        <f>((BA127-VLOOKUP(BA127,$BO$17:$BR$39,1))*VLOOKUP(BA127,$BO$17:$BR$39,4)+VLOOKUP(BA127,$BO$17:$BR$39,3))-VLOOKUP(BA127,$BT$17:$BV$39,3)</f>
        <v>64780.708698550574</v>
      </c>
      <c r="BC127" s="55">
        <f>+AT127</f>
        <v>18673.064799999996</v>
      </c>
      <c r="BD127" s="55">
        <f>+BB127-BC127</f>
        <v>46107.643898550581</v>
      </c>
      <c r="BE127" s="55">
        <f>+BD127*C127</f>
        <v>46107.643898550581</v>
      </c>
      <c r="BF127" s="56"/>
      <c r="BG127" s="62">
        <f t="shared" ref="BG127:BG130" si="325">+(G127+U127+W127)*12</f>
        <v>885081.29999999993</v>
      </c>
      <c r="BH127" s="62">
        <f>+AP127</f>
        <v>125704.40463470318</v>
      </c>
      <c r="BI127" s="62">
        <f t="shared" si="213"/>
        <v>1010785.7046347031</v>
      </c>
      <c r="BJ127" s="55">
        <f t="shared" si="214"/>
        <v>264517.98977579904</v>
      </c>
      <c r="BK127" s="55">
        <f>+AT127*12</f>
        <v>224076.77759999997</v>
      </c>
      <c r="BL127" s="55">
        <f t="shared" ref="BL127:BL130" si="326">+BJ127-BK127</f>
        <v>40441.212175799068</v>
      </c>
      <c r="BM127" s="55">
        <f t="shared" ref="BM127:BM130" si="327">+BL127*C127</f>
        <v>40441.212175799068</v>
      </c>
      <c r="BN127" s="67"/>
    </row>
    <row r="128" spans="2:66" x14ac:dyDescent="0.2">
      <c r="B128" s="95" t="s">
        <v>181</v>
      </c>
      <c r="C128" s="64">
        <v>1</v>
      </c>
      <c r="D128" s="65">
        <v>33058</v>
      </c>
      <c r="E128" s="64"/>
      <c r="F128" s="65">
        <v>10909.140000000001</v>
      </c>
      <c r="G128" s="65">
        <v>33058</v>
      </c>
      <c r="H128" s="65">
        <v>33058</v>
      </c>
      <c r="I128" s="65">
        <v>396696</v>
      </c>
      <c r="J128" s="65">
        <v>5022.0955847031955</v>
      </c>
      <c r="K128" s="65">
        <v>953.33108538812769</v>
      </c>
      <c r="L128" s="65">
        <v>5975.4266700913231</v>
      </c>
      <c r="M128" s="65">
        <v>59754.266700913227</v>
      </c>
      <c r="N128" s="65">
        <v>16363.710000000003</v>
      </c>
      <c r="O128" s="65">
        <v>16363.710000000003</v>
      </c>
      <c r="P128" s="65">
        <v>17246.903010273963</v>
      </c>
      <c r="Q128" s="65">
        <v>14986.399130000002</v>
      </c>
      <c r="R128" s="65">
        <v>11900.880000000001</v>
      </c>
      <c r="S128" s="65">
        <v>69421.799999999988</v>
      </c>
      <c r="T128" s="65">
        <v>7933.92</v>
      </c>
      <c r="U128" s="65">
        <v>709.85474999999997</v>
      </c>
      <c r="V128" s="65">
        <v>8518.2569999999996</v>
      </c>
      <c r="W128" s="65">
        <v>709.85474999999997</v>
      </c>
      <c r="X128" s="65">
        <v>8518.2569999999996</v>
      </c>
      <c r="Y128" s="65">
        <v>0</v>
      </c>
      <c r="Z128" s="65">
        <v>16529</v>
      </c>
      <c r="AA128" s="3"/>
      <c r="AB128" s="42">
        <f>+G128/30</f>
        <v>1101.9333333333334</v>
      </c>
      <c r="AC128" s="60">
        <f>IF(((U128/30)&lt;$AH$4),0,((U128/30)-$AH$4))</f>
        <v>0</v>
      </c>
      <c r="AD128" s="61">
        <f>+AB128+AC128</f>
        <v>1101.9333333333334</v>
      </c>
      <c r="AE128" s="61">
        <f>IF((AD128*$AH$3)&gt;$AI$6,$AI$6,(AD128*$AH$3))</f>
        <v>1267.9780821917809</v>
      </c>
      <c r="AF128" s="62">
        <f>+$AL$1*$AL$2*$AF$9</f>
        <v>5620.9853999999996</v>
      </c>
      <c r="AG128" s="62">
        <f>+IF(AE128&gt;($AH$6*3),(AE128-($AH$6*3))*$AG$8,0)*$AG$9</f>
        <v>4181.6549500000001</v>
      </c>
      <c r="AH128" s="62">
        <f>+IF(AE128&gt;($AH$6*3),(AE128-($AH$6*3))*$AH$8,0)*$AH$9</f>
        <v>1520.6017999999999</v>
      </c>
      <c r="AI128" s="62">
        <f>+(AE128*$AI$9)*$AI$8</f>
        <v>3663.1569800000007</v>
      </c>
      <c r="AJ128" s="62">
        <f>+AF128+AG128+AI128</f>
        <v>13465.797330000001</v>
      </c>
      <c r="AK128" s="62">
        <f>+AH128</f>
        <v>1520.6017999999999</v>
      </c>
      <c r="AL128" s="62">
        <f>+AJ128+AK128</f>
        <v>14986.399130000002</v>
      </c>
      <c r="AN128" s="27">
        <f>+AT128*C128</f>
        <v>6664.2108499999986</v>
      </c>
      <c r="AP128" s="66">
        <f t="shared" si="315"/>
        <v>57489.56670091323</v>
      </c>
      <c r="AQ128" s="55">
        <f t="shared" si="316"/>
        <v>4788.1721307061971</v>
      </c>
      <c r="AR128" s="16">
        <f t="shared" si="317"/>
        <v>39265.881630706193</v>
      </c>
      <c r="AS128" s="55">
        <f t="shared" si="318"/>
        <v>8100.662489211858</v>
      </c>
      <c r="AT128" s="55">
        <f t="shared" si="319"/>
        <v>6664.2108499999986</v>
      </c>
      <c r="AU128" s="55">
        <f t="shared" si="320"/>
        <v>1436.4516392118594</v>
      </c>
      <c r="AV128" s="16">
        <f t="shared" si="321"/>
        <v>44054.05376141239</v>
      </c>
      <c r="AW128" s="56">
        <f t="shared" si="322"/>
        <v>0.30000000000000004</v>
      </c>
      <c r="AX128" s="62">
        <f t="shared" si="323"/>
        <v>17246.870010273971</v>
      </c>
      <c r="AY128" s="62">
        <f t="shared" si="324"/>
        <v>17246.870010273971</v>
      </c>
      <c r="AZ128" s="16"/>
      <c r="BA128" s="16">
        <f>+AP128+AR128</f>
        <v>96755.448331619424</v>
      </c>
      <c r="BB128" s="55">
        <f>((BA128-VLOOKUP(BA128,$BO$17:$BR$39,1))*VLOOKUP(BA128,$BO$17:$BR$39,4)+VLOOKUP(BA128,$BO$17:$BR$39,3))-VLOOKUP(BA128,$BT$17:$BV$39,3)</f>
        <v>26301.086832750603</v>
      </c>
      <c r="BC128" s="55">
        <f>+AT128</f>
        <v>6664.2108499999986</v>
      </c>
      <c r="BD128" s="55">
        <f>+BB128-BC128</f>
        <v>19636.875982750604</v>
      </c>
      <c r="BE128" s="55">
        <f>+BD128*C128</f>
        <v>19636.875982750604</v>
      </c>
      <c r="BF128" s="56"/>
      <c r="BG128" s="62">
        <f t="shared" si="325"/>
        <v>413732.51399999997</v>
      </c>
      <c r="BH128" s="62">
        <f>+AP128</f>
        <v>57489.56670091323</v>
      </c>
      <c r="BI128" s="62">
        <f t="shared" si="213"/>
        <v>471222.08070091321</v>
      </c>
      <c r="BJ128" s="55">
        <f t="shared" si="214"/>
        <v>97217.433210273943</v>
      </c>
      <c r="BK128" s="55">
        <f>+AT128*12</f>
        <v>79970.530199999979</v>
      </c>
      <c r="BL128" s="55">
        <f t="shared" si="326"/>
        <v>17246.903010273963</v>
      </c>
      <c r="BM128" s="55">
        <f t="shared" si="327"/>
        <v>17246.903010273963</v>
      </c>
      <c r="BN128" s="67"/>
    </row>
    <row r="129" spans="2:66" x14ac:dyDescent="0.2">
      <c r="B129" s="95" t="s">
        <v>182</v>
      </c>
      <c r="C129" s="64">
        <v>1</v>
      </c>
      <c r="D129" s="65">
        <v>33058</v>
      </c>
      <c r="E129" s="64"/>
      <c r="F129" s="65">
        <v>10909.140000000001</v>
      </c>
      <c r="G129" s="65">
        <v>33058</v>
      </c>
      <c r="H129" s="65">
        <v>33058</v>
      </c>
      <c r="I129" s="65">
        <v>396696</v>
      </c>
      <c r="J129" s="65">
        <v>5022.0955847031955</v>
      </c>
      <c r="K129" s="65">
        <v>953.33108538812769</v>
      </c>
      <c r="L129" s="65">
        <v>5975.4266700913231</v>
      </c>
      <c r="M129" s="65">
        <v>59754.266700913227</v>
      </c>
      <c r="N129" s="65">
        <v>16363.710000000003</v>
      </c>
      <c r="O129" s="65">
        <v>16363.710000000003</v>
      </c>
      <c r="P129" s="65">
        <v>17246.903010273963</v>
      </c>
      <c r="Q129" s="65">
        <v>14986.399130000002</v>
      </c>
      <c r="R129" s="65">
        <v>11900.880000000001</v>
      </c>
      <c r="S129" s="65">
        <v>69421.799999999988</v>
      </c>
      <c r="T129" s="65">
        <v>7933.92</v>
      </c>
      <c r="U129" s="65">
        <v>709.85474999999997</v>
      </c>
      <c r="V129" s="65">
        <v>8518.2569999999996</v>
      </c>
      <c r="W129" s="65">
        <v>709.85474999999997</v>
      </c>
      <c r="X129" s="65">
        <v>8518.2569999999996</v>
      </c>
      <c r="Y129" s="65">
        <v>0</v>
      </c>
      <c r="Z129" s="65">
        <v>16529</v>
      </c>
      <c r="AA129" s="3"/>
      <c r="AB129" s="42">
        <f>+G129/30</f>
        <v>1101.9333333333334</v>
      </c>
      <c r="AC129" s="60">
        <f>IF(((U129/30)&lt;$AH$4),0,((U129/30)-$AH$4))</f>
        <v>0</v>
      </c>
      <c r="AD129" s="61">
        <f>+AB129+AC129</f>
        <v>1101.9333333333334</v>
      </c>
      <c r="AE129" s="61">
        <f>IF((AD129*$AH$3)&gt;$AI$6,$AI$6,(AD129*$AH$3))</f>
        <v>1267.9780821917809</v>
      </c>
      <c r="AF129" s="62">
        <f>+$AL$1*$AL$2*$AF$9</f>
        <v>5620.9853999999996</v>
      </c>
      <c r="AG129" s="62">
        <f>+IF(AE129&gt;($AH$6*3),(AE129-($AH$6*3))*$AG$8,0)*$AG$9</f>
        <v>4181.6549500000001</v>
      </c>
      <c r="AH129" s="62">
        <f>+IF(AE129&gt;($AH$6*3),(AE129-($AH$6*3))*$AH$8,0)*$AH$9</f>
        <v>1520.6017999999999</v>
      </c>
      <c r="AI129" s="62">
        <f>+(AE129*$AI$9)*$AI$8</f>
        <v>3663.1569800000007</v>
      </c>
      <c r="AJ129" s="62">
        <f>+AF129+AG129+AI129</f>
        <v>13465.797330000001</v>
      </c>
      <c r="AK129" s="62">
        <f>+AH129</f>
        <v>1520.6017999999999</v>
      </c>
      <c r="AL129" s="62">
        <f>+AJ129+AK129</f>
        <v>14986.399130000002</v>
      </c>
      <c r="AN129" s="27">
        <f>+AT129*C129</f>
        <v>6664.2108499999986</v>
      </c>
      <c r="AP129" s="66">
        <f t="shared" si="315"/>
        <v>57489.56670091323</v>
      </c>
      <c r="AQ129" s="55">
        <f t="shared" si="316"/>
        <v>4788.1721307061971</v>
      </c>
      <c r="AR129" s="16">
        <f t="shared" si="317"/>
        <v>39265.881630706193</v>
      </c>
      <c r="AS129" s="55">
        <f t="shared" si="318"/>
        <v>8100.662489211858</v>
      </c>
      <c r="AT129" s="55">
        <f t="shared" si="319"/>
        <v>6664.2108499999986</v>
      </c>
      <c r="AU129" s="55">
        <f t="shared" si="320"/>
        <v>1436.4516392118594</v>
      </c>
      <c r="AV129" s="16">
        <f t="shared" si="321"/>
        <v>44054.05376141239</v>
      </c>
      <c r="AW129" s="56">
        <f t="shared" si="322"/>
        <v>0.30000000000000004</v>
      </c>
      <c r="AX129" s="62">
        <f t="shared" si="323"/>
        <v>17246.870010273971</v>
      </c>
      <c r="AY129" s="62">
        <f t="shared" si="324"/>
        <v>17246.870010273971</v>
      </c>
      <c r="AZ129" s="16"/>
      <c r="BA129" s="16">
        <f>+AP129+AR129</f>
        <v>96755.448331619424</v>
      </c>
      <c r="BB129" s="55">
        <f>((BA129-VLOOKUP(BA129,$BO$17:$BR$39,1))*VLOOKUP(BA129,$BO$17:$BR$39,4)+VLOOKUP(BA129,$BO$17:$BR$39,3))-VLOOKUP(BA129,$BT$17:$BV$39,3)</f>
        <v>26301.086832750603</v>
      </c>
      <c r="BC129" s="55">
        <f>+AT129</f>
        <v>6664.2108499999986</v>
      </c>
      <c r="BD129" s="55">
        <f>+BB129-BC129</f>
        <v>19636.875982750604</v>
      </c>
      <c r="BE129" s="55">
        <f>+BD129*C129</f>
        <v>19636.875982750604</v>
      </c>
      <c r="BF129" s="56"/>
      <c r="BG129" s="62">
        <f t="shared" si="325"/>
        <v>413732.51399999997</v>
      </c>
      <c r="BH129" s="62">
        <f>+AP129</f>
        <v>57489.56670091323</v>
      </c>
      <c r="BI129" s="62">
        <f t="shared" si="213"/>
        <v>471222.08070091321</v>
      </c>
      <c r="BJ129" s="55">
        <f t="shared" si="214"/>
        <v>97217.433210273943</v>
      </c>
      <c r="BK129" s="55">
        <f>+AT129*12</f>
        <v>79970.530199999979</v>
      </c>
      <c r="BL129" s="55">
        <f t="shared" si="326"/>
        <v>17246.903010273963</v>
      </c>
      <c r="BM129" s="55">
        <f t="shared" si="327"/>
        <v>17246.903010273963</v>
      </c>
      <c r="BN129" s="67"/>
    </row>
    <row r="130" spans="2:66" x14ac:dyDescent="0.2">
      <c r="B130" s="95" t="s">
        <v>135</v>
      </c>
      <c r="C130" s="64">
        <v>1</v>
      </c>
      <c r="D130" s="65">
        <v>14000</v>
      </c>
      <c r="E130" s="64"/>
      <c r="F130" s="65">
        <v>4620</v>
      </c>
      <c r="G130" s="65">
        <v>14000</v>
      </c>
      <c r="H130" s="65">
        <v>14000</v>
      </c>
      <c r="I130" s="65">
        <v>168000</v>
      </c>
      <c r="J130" s="65">
        <v>2413.832044460331</v>
      </c>
      <c r="K130" s="65">
        <v>445.11719007591324</v>
      </c>
      <c r="L130" s="65">
        <v>2858.9492345362441</v>
      </c>
      <c r="M130" s="65">
        <v>28589.492345362443</v>
      </c>
      <c r="N130" s="65">
        <v>6930</v>
      </c>
      <c r="O130" s="65">
        <v>6930</v>
      </c>
      <c r="P130" s="65">
        <v>5622.9991409694267</v>
      </c>
      <c r="Q130" s="65">
        <v>8994.2600370769069</v>
      </c>
      <c r="R130" s="65">
        <v>5040</v>
      </c>
      <c r="S130" s="65">
        <v>29400</v>
      </c>
      <c r="T130" s="65">
        <v>3360</v>
      </c>
      <c r="U130" s="65">
        <v>1285.7244159375</v>
      </c>
      <c r="V130" s="65">
        <v>15428.69299125</v>
      </c>
      <c r="W130" s="65">
        <v>1285.7244159375</v>
      </c>
      <c r="X130" s="65">
        <v>15428.69299125</v>
      </c>
      <c r="Y130" s="65">
        <v>0</v>
      </c>
      <c r="Z130" s="65">
        <v>7000</v>
      </c>
      <c r="AA130" s="3"/>
      <c r="AB130" s="42">
        <f>+G130/30</f>
        <v>466.66666666666669</v>
      </c>
      <c r="AC130" s="60">
        <f>IF(((U130/30)&lt;$AH$4),0,((U130/30)-$AH$4))</f>
        <v>12.66148053125</v>
      </c>
      <c r="AD130" s="61">
        <f>+AB130+AC130</f>
        <v>479.32814719791668</v>
      </c>
      <c r="AE130" s="61">
        <f>IF((AD130*$AH$3)&gt;$AI$6,$AI$6,(AD130*$AH$3))</f>
        <v>551.5556762277397</v>
      </c>
      <c r="AF130" s="62">
        <f>+$AL$1*$AL$2*$AF$9</f>
        <v>5620.9853999999996</v>
      </c>
      <c r="AG130" s="62">
        <f>+IF(AE130&gt;($AH$6*3),(AE130-($AH$6*3))*$AG$8,0)*$AG$9</f>
        <v>1305.2189900543749</v>
      </c>
      <c r="AH130" s="62">
        <f>+IF(AE130&gt;($AH$6*3),(AE130-($AH$6*3))*$AH$8,0)*$AH$9</f>
        <v>474.62508729249998</v>
      </c>
      <c r="AI130" s="62">
        <f>+(AE130*$AI$9)*$AI$8</f>
        <v>1593.4305597300342</v>
      </c>
      <c r="AJ130" s="62">
        <f>+AF130+AG130+AI130</f>
        <v>8519.6349497844076</v>
      </c>
      <c r="AK130" s="62">
        <f>+AH130</f>
        <v>474.62508729249998</v>
      </c>
      <c r="AL130" s="62">
        <f>+AJ130+AK130</f>
        <v>8994.2600370769069</v>
      </c>
      <c r="AN130" s="27">
        <f>+AT130*C130</f>
        <v>2430.5417744884999</v>
      </c>
      <c r="AP130" s="66">
        <f t="shared" si="315"/>
        <v>26324.792345362443</v>
      </c>
      <c r="AQ130" s="55">
        <f t="shared" si="316"/>
        <v>2192.5306501342966</v>
      </c>
      <c r="AR130" s="16">
        <f t="shared" si="317"/>
        <v>18763.979482009297</v>
      </c>
      <c r="AS130" s="55">
        <f t="shared" si="318"/>
        <v>2898.8663213571858</v>
      </c>
      <c r="AT130" s="55">
        <f t="shared" si="319"/>
        <v>2430.5417744884999</v>
      </c>
      <c r="AU130" s="55">
        <f t="shared" si="320"/>
        <v>468.32454686868596</v>
      </c>
      <c r="AV130" s="16">
        <f t="shared" si="321"/>
        <v>20956.510132143594</v>
      </c>
      <c r="AW130" s="56">
        <f t="shared" si="322"/>
        <v>0.2136000000000001</v>
      </c>
      <c r="AX130" s="62">
        <f t="shared" si="323"/>
        <v>5622.9756449694205</v>
      </c>
      <c r="AY130" s="62">
        <f t="shared" si="324"/>
        <v>5622.9756449694205</v>
      </c>
      <c r="AZ130" s="16"/>
      <c r="BA130" s="16">
        <f>+AP130+AR130</f>
        <v>45088.77182737174</v>
      </c>
      <c r="BB130" s="55">
        <f>((BA130-VLOOKUP(BA130,$BO$17:$BR$39,1))*VLOOKUP(BA130,$BO$17:$BR$39,4)+VLOOKUP(BA130,$BO$17:$BR$39,3))-VLOOKUP(BA130,$BT$17:$BV$39,3)</f>
        <v>9847.5295482115216</v>
      </c>
      <c r="BC130" s="55">
        <f>+AT130</f>
        <v>2430.5417744884999</v>
      </c>
      <c r="BD130" s="55">
        <f>+BB130-BC130</f>
        <v>7416.9877737230217</v>
      </c>
      <c r="BE130" s="55">
        <f>+BD130*C130</f>
        <v>7416.9877737230217</v>
      </c>
      <c r="BF130" s="56"/>
      <c r="BG130" s="62">
        <f t="shared" si="325"/>
        <v>198857.38598250001</v>
      </c>
      <c r="BH130" s="62">
        <f>+AP130</f>
        <v>26324.792345362443</v>
      </c>
      <c r="BI130" s="62">
        <f t="shared" si="213"/>
        <v>225182.17832786246</v>
      </c>
      <c r="BJ130" s="55">
        <f t="shared" si="214"/>
        <v>34789.500434831425</v>
      </c>
      <c r="BK130" s="55">
        <f>+AT130*12</f>
        <v>29166.501293861998</v>
      </c>
      <c r="BL130" s="55">
        <f t="shared" si="326"/>
        <v>5622.9991409694267</v>
      </c>
      <c r="BM130" s="55">
        <f t="shared" si="327"/>
        <v>5622.9991409694267</v>
      </c>
      <c r="BN130" s="67"/>
    </row>
    <row r="131" spans="2:66" x14ac:dyDescent="0.2">
      <c r="B131" s="75" t="s">
        <v>91</v>
      </c>
      <c r="C131" s="76">
        <v>4</v>
      </c>
      <c r="D131" s="100">
        <v>152844</v>
      </c>
      <c r="E131" s="76"/>
      <c r="F131" s="100"/>
      <c r="G131" s="100">
        <v>152844</v>
      </c>
      <c r="H131" s="100">
        <v>152844</v>
      </c>
      <c r="I131" s="100">
        <v>1834128</v>
      </c>
      <c r="J131" s="100"/>
      <c r="K131" s="100"/>
      <c r="L131" s="100">
        <v>27606.713038189206</v>
      </c>
      <c r="M131" s="100">
        <v>276067.13038189209</v>
      </c>
      <c r="N131" s="100"/>
      <c r="O131" s="100">
        <v>75657.780000000013</v>
      </c>
      <c r="P131" s="100">
        <v>80558.017337316414</v>
      </c>
      <c r="Q131" s="100">
        <v>59133.032265826914</v>
      </c>
      <c r="R131" s="100">
        <v>55023.840000000011</v>
      </c>
      <c r="S131" s="100">
        <v>320972.39999999997</v>
      </c>
      <c r="T131" s="100">
        <v>32816.04</v>
      </c>
      <c r="U131" s="100">
        <v>3219.8214159375002</v>
      </c>
      <c r="V131" s="100">
        <v>38637.856991249995</v>
      </c>
      <c r="W131" s="100">
        <v>3219.8214159375002</v>
      </c>
      <c r="X131" s="100">
        <v>38637.856991249995</v>
      </c>
      <c r="Y131" s="100">
        <v>0</v>
      </c>
      <c r="Z131" s="100">
        <v>40058</v>
      </c>
      <c r="AA131" s="42"/>
      <c r="AB131" s="42"/>
      <c r="AC131" s="60"/>
      <c r="AD131" s="61"/>
      <c r="AE131" s="61"/>
      <c r="AF131" s="62"/>
      <c r="AG131" s="62"/>
      <c r="AH131" s="62"/>
      <c r="AI131" s="62"/>
      <c r="AJ131" s="62"/>
      <c r="AK131" s="62"/>
      <c r="AL131" s="62"/>
      <c r="AN131" s="27"/>
      <c r="AP131" s="55"/>
      <c r="AQ131" s="55"/>
      <c r="AR131" s="16"/>
      <c r="AS131" s="16"/>
      <c r="AT131" s="55"/>
      <c r="AU131" s="55"/>
      <c r="AV131" s="55"/>
      <c r="AW131" s="93"/>
      <c r="AX131" s="62"/>
      <c r="AY131" s="62"/>
      <c r="AZ131" s="16"/>
      <c r="BA131" s="16"/>
      <c r="BB131" s="55"/>
      <c r="BC131" s="55"/>
      <c r="BD131" s="55"/>
      <c r="BE131" s="55">
        <f>+BD131*C131</f>
        <v>0</v>
      </c>
      <c r="BF131" s="56"/>
      <c r="BG131" s="62"/>
      <c r="BH131" s="62"/>
      <c r="BI131" s="62"/>
      <c r="BJ131" s="55"/>
      <c r="BK131" s="55"/>
      <c r="BL131" s="55"/>
      <c r="BM131" s="55"/>
      <c r="BN131" s="67"/>
    </row>
    <row r="132" spans="2:66" ht="13.5" thickBot="1" x14ac:dyDescent="0.25">
      <c r="B132" s="124" t="s">
        <v>183</v>
      </c>
      <c r="C132" s="125">
        <v>142</v>
      </c>
      <c r="D132" s="126">
        <v>3531045</v>
      </c>
      <c r="E132" s="126"/>
      <c r="F132" s="126">
        <v>0</v>
      </c>
      <c r="G132" s="126">
        <v>3531045</v>
      </c>
      <c r="H132" s="126">
        <v>5371581</v>
      </c>
      <c r="I132" s="126">
        <v>64458972</v>
      </c>
      <c r="J132" s="126"/>
      <c r="K132" s="126"/>
      <c r="L132" s="126">
        <v>966025.31016936747</v>
      </c>
      <c r="M132" s="126">
        <v>9660253.1016936749</v>
      </c>
      <c r="N132" s="126"/>
      <c r="O132" s="126">
        <v>2168408.3850000007</v>
      </c>
      <c r="P132" s="126">
        <v>2746820.893670978</v>
      </c>
      <c r="Q132" s="126">
        <v>1972794.4861589116</v>
      </c>
      <c r="R132" s="126">
        <v>1933769.1600000006</v>
      </c>
      <c r="S132" s="126">
        <v>11280320.099999998</v>
      </c>
      <c r="T132" s="126">
        <v>1053343.1758079999</v>
      </c>
      <c r="U132" s="126"/>
      <c r="V132" s="126">
        <v>1454309.7062616185</v>
      </c>
      <c r="W132" s="126"/>
      <c r="X132" s="126">
        <v>1454309.7062616185</v>
      </c>
      <c r="Y132" s="126">
        <v>0</v>
      </c>
      <c r="Z132" s="126">
        <v>1434225.5</v>
      </c>
      <c r="AA132" s="27"/>
      <c r="AB132" s="27"/>
      <c r="AL132" s="16">
        <f>SUM(AL11:AL131)</f>
        <v>1305643.9673420668</v>
      </c>
      <c r="AN132" s="127">
        <f>SUM(AN11:AN103)</f>
        <v>1064868.1506200701</v>
      </c>
      <c r="AP132" s="55"/>
      <c r="AX132" s="128"/>
      <c r="AY132" s="127">
        <f>SUM(AY11:AY130)</f>
        <v>2746804.1103048744</v>
      </c>
      <c r="BD132" s="55">
        <f>SUM(BD11:BD103)</f>
        <v>1710357.3445866625</v>
      </c>
      <c r="BE132" s="127">
        <f>SUM(BE11:BE130)</f>
        <v>3216777.4073592266</v>
      </c>
      <c r="BL132" s="128"/>
      <c r="BM132" s="127">
        <f>SUM(BM11:BM130)</f>
        <v>2746820.8936709785</v>
      </c>
      <c r="BN132" s="67"/>
    </row>
    <row r="133" spans="2:66" x14ac:dyDescent="0.2">
      <c r="B133" s="7"/>
      <c r="C133" s="27"/>
      <c r="D133" s="27"/>
      <c r="E133" s="27"/>
      <c r="F133" s="27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129"/>
      <c r="X133" s="3"/>
      <c r="Y133" s="3"/>
      <c r="Z133" s="3"/>
      <c r="AY133" s="55"/>
      <c r="BN133" s="55"/>
    </row>
    <row r="134" spans="2:66" x14ac:dyDescent="0.2">
      <c r="B134" s="7"/>
      <c r="C134" s="27"/>
      <c r="D134" s="132"/>
      <c r="J134" s="3"/>
      <c r="K134" s="3"/>
      <c r="L134" s="3"/>
      <c r="M134" s="131"/>
      <c r="R134" s="133"/>
      <c r="S134" s="133"/>
      <c r="T134" s="133"/>
      <c r="U134" s="133"/>
      <c r="V134" s="133"/>
      <c r="W134" s="133"/>
      <c r="X134" s="133"/>
      <c r="Y134" s="3"/>
      <c r="Z134" s="3"/>
    </row>
    <row r="135" spans="2:66" x14ac:dyDescent="0.2">
      <c r="B135" s="40"/>
      <c r="C135" s="134"/>
      <c r="D135" s="132"/>
      <c r="J135" s="135"/>
      <c r="K135" s="135"/>
      <c r="L135" s="42"/>
      <c r="M135" s="131"/>
      <c r="N135" s="27"/>
      <c r="O135" s="27"/>
      <c r="P135" s="27"/>
      <c r="R135" s="110"/>
      <c r="S135" s="110"/>
      <c r="T135" s="110"/>
      <c r="U135" s="110"/>
      <c r="V135" s="110"/>
      <c r="W135" s="110"/>
      <c r="X135" s="110"/>
      <c r="Y135" s="3"/>
      <c r="Z135" s="3"/>
      <c r="AA135" s="27"/>
      <c r="AD135" s="27"/>
      <c r="AE135" s="27"/>
      <c r="AF135" s="27"/>
      <c r="AG135" s="27"/>
      <c r="AH135" s="136"/>
      <c r="AI135" s="3"/>
      <c r="AJ135" s="3"/>
    </row>
    <row r="136" spans="2:66" x14ac:dyDescent="0.2">
      <c r="B136" s="135"/>
      <c r="C136" s="135"/>
      <c r="D136" s="132"/>
      <c r="J136" s="135"/>
      <c r="K136" s="135"/>
      <c r="L136" s="135"/>
      <c r="M136" s="131"/>
      <c r="N136" s="130"/>
      <c r="O136" s="27"/>
      <c r="P136" s="27"/>
      <c r="R136" s="131"/>
      <c r="S136" s="131"/>
      <c r="T136" s="131"/>
      <c r="U136" s="131"/>
      <c r="V136" s="131"/>
      <c r="W136" s="131"/>
      <c r="X136" s="131"/>
      <c r="Z136" s="55"/>
      <c r="AD136" s="134"/>
      <c r="AE136" s="134" t="s">
        <v>184</v>
      </c>
      <c r="AF136" s="134"/>
      <c r="AG136" s="135"/>
      <c r="AH136" s="134"/>
      <c r="AI136" s="134" t="s">
        <v>185</v>
      </c>
      <c r="AJ136" s="134"/>
    </row>
    <row r="137" spans="2:66" x14ac:dyDescent="0.2">
      <c r="B137" s="135"/>
      <c r="C137" s="135"/>
      <c r="D137" s="132"/>
      <c r="J137" s="135"/>
      <c r="K137" s="135"/>
      <c r="L137" s="135"/>
      <c r="M137" s="135"/>
      <c r="N137" s="130"/>
      <c r="O137" s="130"/>
      <c r="P137" s="130"/>
      <c r="Q137" s="131"/>
      <c r="R137" s="131"/>
      <c r="S137" s="131"/>
      <c r="T137" s="131"/>
      <c r="U137" s="131"/>
      <c r="V137" s="131"/>
      <c r="W137" s="131"/>
      <c r="X137" s="131"/>
      <c r="AD137" s="137" t="s">
        <v>186</v>
      </c>
      <c r="AE137" s="135">
        <v>22.5</v>
      </c>
      <c r="AF137" s="135"/>
      <c r="AG137" s="134"/>
      <c r="AH137" s="137" t="s">
        <v>186</v>
      </c>
      <c r="AI137" s="135">
        <v>22.5</v>
      </c>
      <c r="AJ137" s="135"/>
    </row>
    <row r="138" spans="2:66" x14ac:dyDescent="0.2">
      <c r="B138" s="135"/>
      <c r="C138" s="135"/>
      <c r="D138" s="132"/>
      <c r="J138" s="135"/>
      <c r="K138" s="135"/>
      <c r="L138" s="135"/>
      <c r="M138" s="135"/>
      <c r="N138" s="130"/>
      <c r="O138" s="130"/>
      <c r="P138" s="130"/>
      <c r="Q138" s="131"/>
      <c r="R138" s="131"/>
      <c r="S138" s="131"/>
      <c r="T138" s="131"/>
      <c r="U138" s="131"/>
      <c r="W138" s="131"/>
      <c r="X138" s="131"/>
      <c r="AD138" s="137" t="s">
        <v>187</v>
      </c>
      <c r="AE138" s="135">
        <v>70.099999999999994</v>
      </c>
      <c r="AF138" s="135"/>
      <c r="AG138" s="135"/>
      <c r="AH138" s="138" t="s">
        <v>188</v>
      </c>
      <c r="AI138" s="139">
        <f>+AH6</f>
        <v>75.489999999999995</v>
      </c>
      <c r="AJ138" s="135"/>
    </row>
    <row r="139" spans="2:66" x14ac:dyDescent="0.2">
      <c r="B139" s="135"/>
      <c r="C139" s="135"/>
      <c r="D139" s="132"/>
      <c r="J139" s="135"/>
      <c r="K139" s="135"/>
      <c r="L139" s="135"/>
      <c r="M139" s="135"/>
      <c r="N139" s="130"/>
      <c r="O139" s="130"/>
      <c r="P139" s="130"/>
      <c r="Q139" s="131"/>
      <c r="R139" s="131"/>
      <c r="S139" s="131"/>
      <c r="T139" s="131"/>
      <c r="U139" s="131"/>
      <c r="AD139" s="137" t="s">
        <v>189</v>
      </c>
      <c r="AE139" s="135">
        <f>+AE137*AE138</f>
        <v>1577.2499999999998</v>
      </c>
      <c r="AF139" s="140">
        <f>+AE139/2</f>
        <v>788.62499999999989</v>
      </c>
      <c r="AG139" s="135"/>
      <c r="AH139" s="137" t="s">
        <v>189</v>
      </c>
      <c r="AI139" s="135">
        <f>+AI137*AI138</f>
        <v>1698.5249999999999</v>
      </c>
      <c r="AJ139" s="140">
        <f>+AI139/2</f>
        <v>849.26249999999993</v>
      </c>
      <c r="AK139" s="8">
        <f>+AI139*12</f>
        <v>20382.3</v>
      </c>
    </row>
    <row r="140" spans="2:66" x14ac:dyDescent="0.2">
      <c r="B140" s="135"/>
      <c r="C140" s="135"/>
      <c r="D140" s="132"/>
      <c r="J140" s="135"/>
      <c r="K140" s="135"/>
      <c r="L140" s="135"/>
      <c r="M140" s="135"/>
      <c r="N140" s="132"/>
      <c r="O140" s="141"/>
      <c r="P140" s="141"/>
      <c r="Q140" s="131"/>
      <c r="R140" s="131"/>
      <c r="S140" s="131"/>
      <c r="T140" s="131"/>
      <c r="U140" s="131"/>
      <c r="AD140" s="137" t="s">
        <v>190</v>
      </c>
      <c r="AE140" s="135">
        <v>19</v>
      </c>
      <c r="AF140" s="135"/>
      <c r="AG140" s="135"/>
      <c r="AH140" s="137" t="s">
        <v>190</v>
      </c>
      <c r="AI140" s="142">
        <v>20</v>
      </c>
      <c r="AJ140" s="135"/>
    </row>
    <row r="141" spans="2:66" x14ac:dyDescent="0.2">
      <c r="B141" s="135"/>
      <c r="C141" s="135"/>
      <c r="D141" s="132"/>
      <c r="J141" s="135"/>
      <c r="K141" s="135"/>
      <c r="L141" s="135"/>
      <c r="M141" s="135"/>
      <c r="N141" s="132"/>
      <c r="O141" s="132"/>
      <c r="P141" s="132"/>
      <c r="Q141" s="131"/>
      <c r="R141" s="131"/>
      <c r="S141" s="131"/>
      <c r="T141" s="131"/>
      <c r="U141" s="131"/>
      <c r="AD141" s="137" t="s">
        <v>191</v>
      </c>
      <c r="AE141" s="135">
        <f>+AE139*AE140</f>
        <v>29967.749999999996</v>
      </c>
      <c r="AF141" s="135"/>
      <c r="AG141" s="135"/>
      <c r="AH141" s="137" t="s">
        <v>191</v>
      </c>
      <c r="AI141" s="135">
        <f>+AI139*AI140</f>
        <v>33970.5</v>
      </c>
      <c r="AJ141" s="135"/>
    </row>
    <row r="142" spans="2:66" x14ac:dyDescent="0.2">
      <c r="B142" s="135"/>
      <c r="C142" s="135"/>
      <c r="D142" s="132"/>
      <c r="J142" s="135"/>
      <c r="K142" s="135"/>
      <c r="L142" s="135"/>
      <c r="M142" s="135"/>
      <c r="N142" s="132"/>
      <c r="O142" s="132"/>
      <c r="P142" s="132"/>
      <c r="Q142" s="131"/>
      <c r="R142" s="131"/>
      <c r="S142" s="131"/>
      <c r="T142" s="131"/>
      <c r="U142" s="131"/>
      <c r="V142" s="131"/>
      <c r="W142" s="131"/>
      <c r="X142" s="131"/>
      <c r="AD142" s="137"/>
      <c r="AE142" s="135">
        <v>12</v>
      </c>
      <c r="AF142" s="135"/>
      <c r="AG142" s="135"/>
      <c r="AH142" s="137"/>
      <c r="AI142" s="135">
        <v>12</v>
      </c>
      <c r="AJ142" s="135"/>
    </row>
    <row r="143" spans="2:66" x14ac:dyDescent="0.2">
      <c r="B143" s="135"/>
      <c r="C143" s="135"/>
      <c r="D143" s="132"/>
      <c r="J143" s="135"/>
      <c r="K143" s="135"/>
      <c r="L143" s="135"/>
      <c r="M143" s="135"/>
      <c r="N143" s="132"/>
      <c r="O143" s="132"/>
      <c r="P143" s="132"/>
      <c r="Q143" s="131"/>
      <c r="R143" s="131"/>
      <c r="S143" s="131"/>
      <c r="T143" s="131"/>
      <c r="U143" s="131"/>
      <c r="V143" s="131"/>
      <c r="W143" s="131"/>
      <c r="X143" s="131"/>
      <c r="AD143" s="137" t="s">
        <v>192</v>
      </c>
      <c r="AE143" s="143">
        <f>+AE141*AE142</f>
        <v>359612.99999999994</v>
      </c>
      <c r="AF143" s="135"/>
      <c r="AG143" s="135"/>
      <c r="AH143" s="137" t="s">
        <v>192</v>
      </c>
      <c r="AI143" s="144">
        <f>+AI141*AI142</f>
        <v>407646</v>
      </c>
      <c r="AJ143" s="135"/>
    </row>
    <row r="144" spans="2:66" x14ac:dyDescent="0.2">
      <c r="B144" s="135"/>
      <c r="C144" s="135"/>
      <c r="D144" s="132"/>
      <c r="E144" s="135"/>
      <c r="F144" s="135"/>
      <c r="G144" s="143"/>
      <c r="H144" s="135"/>
      <c r="I144" s="135"/>
      <c r="J144" s="135"/>
      <c r="K144" s="135"/>
      <c r="L144" s="135"/>
      <c r="M144" s="135"/>
      <c r="N144" s="132"/>
      <c r="O144" s="132"/>
      <c r="P144" s="132"/>
      <c r="Q144" s="131"/>
      <c r="R144" s="131"/>
      <c r="S144" s="131"/>
      <c r="T144" s="131"/>
      <c r="U144" s="131"/>
      <c r="V144" s="131"/>
      <c r="W144" s="131"/>
      <c r="X144" s="131"/>
      <c r="AD144" s="135"/>
      <c r="AE144" s="135"/>
      <c r="AF144" s="135"/>
      <c r="AG144" s="135"/>
      <c r="AH144" s="143"/>
      <c r="AI144" s="135"/>
      <c r="AJ144" s="135"/>
    </row>
    <row r="145" spans="2:24" x14ac:dyDescent="0.2">
      <c r="B145" s="139"/>
      <c r="C145" s="135"/>
      <c r="D145" s="110"/>
      <c r="E145" s="135"/>
      <c r="F145" s="135"/>
      <c r="G145" s="143"/>
      <c r="H145" s="135"/>
      <c r="I145" s="135"/>
      <c r="J145" s="135"/>
      <c r="K145" s="135"/>
      <c r="L145" s="135"/>
      <c r="M145" s="135"/>
      <c r="N145" s="135"/>
      <c r="O145" s="135"/>
      <c r="P145" s="132"/>
      <c r="Q145" s="131"/>
      <c r="R145" s="131"/>
      <c r="S145" s="131"/>
      <c r="T145" s="131"/>
      <c r="U145" s="131"/>
      <c r="V145" s="131"/>
      <c r="W145" s="131"/>
      <c r="X145" s="131"/>
    </row>
    <row r="146" spans="2:24" x14ac:dyDescent="0.2">
      <c r="B146" s="144"/>
      <c r="C146" s="135"/>
      <c r="D146" s="110"/>
      <c r="E146" s="135"/>
      <c r="F146" s="135"/>
      <c r="G146" s="143"/>
      <c r="H146" s="135"/>
      <c r="I146" s="135"/>
      <c r="J146" s="135"/>
      <c r="K146" s="135"/>
      <c r="L146" s="135"/>
      <c r="M146" s="135"/>
      <c r="N146" s="135"/>
      <c r="O146" s="135"/>
      <c r="P146" s="132"/>
      <c r="Q146" s="131"/>
      <c r="R146" s="131"/>
      <c r="S146" s="131"/>
      <c r="T146" s="131"/>
      <c r="U146" s="131"/>
      <c r="V146" s="131"/>
      <c r="W146" s="131"/>
      <c r="X146" s="131"/>
    </row>
    <row r="147" spans="2:24" x14ac:dyDescent="0.2">
      <c r="B147" s="135"/>
      <c r="C147" s="135"/>
      <c r="D147" s="110"/>
      <c r="E147" s="135"/>
      <c r="F147" s="135"/>
      <c r="G147" s="143"/>
      <c r="H147" s="135"/>
      <c r="I147" s="135"/>
      <c r="J147" s="135"/>
      <c r="K147" s="135"/>
      <c r="L147" s="135"/>
      <c r="M147" s="135"/>
      <c r="N147" s="135"/>
      <c r="O147" s="135"/>
      <c r="P147" s="132"/>
      <c r="Q147" s="131"/>
      <c r="R147" s="131"/>
      <c r="S147" s="131"/>
      <c r="T147" s="131"/>
      <c r="U147" s="131"/>
      <c r="V147" s="131"/>
      <c r="W147" s="131"/>
      <c r="X147" s="131"/>
    </row>
    <row r="148" spans="2:24" x14ac:dyDescent="0.2">
      <c r="B148" s="144"/>
      <c r="C148" s="135"/>
      <c r="D148" s="133"/>
      <c r="E148" s="135"/>
      <c r="F148" s="135"/>
      <c r="G148" s="143"/>
      <c r="H148" s="135"/>
      <c r="I148" s="135"/>
      <c r="J148" s="135"/>
      <c r="K148" s="135"/>
      <c r="L148" s="135"/>
      <c r="M148" s="135"/>
      <c r="N148" s="135"/>
      <c r="O148" s="135"/>
      <c r="P148" s="132"/>
      <c r="Q148" s="131"/>
      <c r="R148" s="131"/>
      <c r="S148" s="131"/>
      <c r="T148" s="131"/>
      <c r="U148" s="131"/>
      <c r="V148" s="131"/>
      <c r="W148" s="131"/>
      <c r="X148" s="131"/>
    </row>
    <row r="149" spans="2:24" x14ac:dyDescent="0.2">
      <c r="B149" s="144"/>
      <c r="C149" s="135"/>
      <c r="D149" s="110"/>
      <c r="E149" s="135"/>
      <c r="F149" s="135"/>
      <c r="G149" s="143"/>
      <c r="H149" s="135"/>
      <c r="I149" s="135"/>
      <c r="J149" s="135"/>
      <c r="K149" s="135"/>
      <c r="L149" s="135"/>
      <c r="M149" s="135"/>
      <c r="N149" s="135"/>
      <c r="O149" s="135"/>
      <c r="P149" s="132"/>
      <c r="Q149" s="133"/>
      <c r="R149" s="133"/>
      <c r="S149" s="133"/>
      <c r="T149" s="133"/>
      <c r="U149" s="133"/>
      <c r="V149" s="133"/>
      <c r="W149" s="133"/>
      <c r="X149" s="133"/>
    </row>
    <row r="150" spans="2:24" x14ac:dyDescent="0.2">
      <c r="B150" s="135"/>
      <c r="C150" s="135"/>
      <c r="D150" s="110"/>
      <c r="E150" s="135"/>
      <c r="F150" s="135"/>
      <c r="G150" s="143"/>
      <c r="H150" s="135"/>
      <c r="I150" s="135"/>
      <c r="J150" s="135"/>
      <c r="K150" s="135"/>
      <c r="L150" s="135"/>
      <c r="M150" s="135"/>
      <c r="N150" s="135"/>
      <c r="O150" s="135"/>
      <c r="P150" s="132"/>
      <c r="Q150" s="110"/>
      <c r="R150" s="110"/>
      <c r="S150" s="110"/>
      <c r="T150" s="110"/>
      <c r="U150" s="110"/>
      <c r="V150" s="110"/>
      <c r="W150" s="110"/>
      <c r="X150" s="110"/>
    </row>
    <row r="151" spans="2:24" x14ac:dyDescent="0.2">
      <c r="B151" s="135"/>
      <c r="C151" s="135"/>
      <c r="D151" s="110"/>
      <c r="E151" s="135"/>
      <c r="F151" s="135"/>
      <c r="G151" s="143"/>
      <c r="H151" s="135"/>
      <c r="I151" s="135"/>
      <c r="J151" s="135"/>
      <c r="K151" s="135"/>
      <c r="L151" s="135"/>
      <c r="M151" s="135"/>
      <c r="N151" s="135"/>
      <c r="O151" s="135"/>
      <c r="P151" s="132"/>
      <c r="Q151" s="131"/>
      <c r="R151" s="131"/>
      <c r="S151" s="131"/>
      <c r="T151" s="131"/>
      <c r="U151" s="131"/>
      <c r="V151" s="131"/>
      <c r="W151" s="131"/>
      <c r="X151" s="131"/>
    </row>
    <row r="152" spans="2:24" x14ac:dyDescent="0.2">
      <c r="B152" s="135"/>
      <c r="C152" s="135"/>
      <c r="D152" s="110"/>
      <c r="E152" s="135"/>
      <c r="F152" s="135"/>
      <c r="G152" s="143"/>
      <c r="H152" s="135"/>
      <c r="I152" s="135"/>
      <c r="J152" s="135"/>
      <c r="K152" s="135"/>
      <c r="L152" s="135"/>
      <c r="M152" s="135"/>
      <c r="N152" s="135"/>
      <c r="O152" s="135"/>
      <c r="P152" s="132"/>
      <c r="Q152" s="133"/>
      <c r="R152" s="133"/>
      <c r="S152" s="133"/>
      <c r="T152" s="133"/>
      <c r="U152" s="133"/>
      <c r="V152" s="133"/>
      <c r="W152" s="133"/>
      <c r="X152" s="133"/>
    </row>
    <row r="153" spans="2:24" x14ac:dyDescent="0.2">
      <c r="B153" s="135"/>
      <c r="C153" s="135"/>
      <c r="D153" s="110"/>
      <c r="E153" s="135"/>
      <c r="F153" s="135"/>
      <c r="G153" s="143"/>
      <c r="H153" s="135"/>
      <c r="I153" s="135"/>
      <c r="J153" s="135"/>
      <c r="K153" s="135"/>
      <c r="L153" s="135"/>
      <c r="M153" s="135"/>
      <c r="N153" s="135"/>
      <c r="O153" s="135"/>
      <c r="P153" s="132"/>
      <c r="Q153" s="110"/>
      <c r="R153" s="110"/>
      <c r="S153" s="110"/>
      <c r="T153" s="110"/>
      <c r="U153" s="110"/>
      <c r="V153" s="110"/>
      <c r="W153" s="110"/>
      <c r="X153" s="110"/>
    </row>
    <row r="154" spans="2:24" x14ac:dyDescent="0.2">
      <c r="B154" s="135"/>
      <c r="C154" s="135"/>
      <c r="D154" s="110"/>
      <c r="E154" s="135"/>
      <c r="F154" s="135"/>
      <c r="G154" s="143"/>
      <c r="H154" s="135"/>
      <c r="I154" s="135"/>
      <c r="J154" s="135"/>
      <c r="K154" s="135"/>
      <c r="L154" s="135"/>
      <c r="M154" s="135"/>
      <c r="N154" s="135"/>
      <c r="O154" s="135"/>
      <c r="P154" s="132"/>
      <c r="Q154" s="131"/>
      <c r="R154" s="131"/>
      <c r="S154" s="131"/>
      <c r="T154" s="131"/>
      <c r="U154" s="131"/>
      <c r="V154" s="131"/>
      <c r="W154" s="131"/>
      <c r="X154" s="131"/>
    </row>
    <row r="155" spans="2:24" x14ac:dyDescent="0.2">
      <c r="B155" s="135"/>
      <c r="C155" s="135"/>
      <c r="D155" s="110"/>
      <c r="E155" s="135"/>
      <c r="F155" s="135"/>
      <c r="G155" s="143"/>
      <c r="H155" s="135"/>
      <c r="I155" s="135"/>
      <c r="J155" s="135"/>
      <c r="K155" s="135"/>
      <c r="L155" s="135"/>
      <c r="M155" s="135"/>
      <c r="N155" s="135"/>
      <c r="O155" s="135"/>
      <c r="P155" s="132"/>
      <c r="Q155" s="131"/>
      <c r="R155" s="131"/>
      <c r="S155" s="131"/>
      <c r="T155" s="131"/>
      <c r="U155" s="131"/>
      <c r="V155" s="131"/>
      <c r="W155" s="131"/>
      <c r="X155" s="131"/>
    </row>
    <row r="156" spans="2:24" x14ac:dyDescent="0.2">
      <c r="B156" s="135"/>
      <c r="C156" s="135"/>
      <c r="D156" s="110"/>
      <c r="E156" s="135"/>
      <c r="F156" s="135"/>
      <c r="G156" s="143"/>
      <c r="H156" s="135"/>
      <c r="I156" s="135"/>
      <c r="J156" s="135"/>
      <c r="K156" s="135"/>
      <c r="L156" s="135"/>
      <c r="M156" s="135"/>
      <c r="N156" s="135"/>
      <c r="O156" s="135"/>
      <c r="P156" s="132"/>
      <c r="Q156" s="131"/>
      <c r="R156" s="131"/>
      <c r="S156" s="131"/>
      <c r="T156" s="131"/>
      <c r="U156" s="131"/>
      <c r="V156" s="131"/>
      <c r="W156" s="131"/>
      <c r="X156" s="131"/>
    </row>
    <row r="157" spans="2:24" x14ac:dyDescent="0.2">
      <c r="B157" s="135"/>
      <c r="C157" s="135"/>
      <c r="D157" s="110"/>
      <c r="E157" s="135"/>
      <c r="F157" s="135"/>
      <c r="G157" s="143"/>
      <c r="H157" s="145"/>
      <c r="I157" s="135"/>
      <c r="J157" s="135"/>
      <c r="K157" s="135"/>
      <c r="L157" s="135"/>
      <c r="M157" s="135"/>
      <c r="N157" s="135"/>
      <c r="O157" s="135"/>
      <c r="P157" s="132"/>
      <c r="Q157" s="131"/>
      <c r="R157" s="131"/>
      <c r="S157" s="131"/>
      <c r="T157" s="131"/>
      <c r="U157" s="131"/>
      <c r="V157" s="131"/>
      <c r="W157" s="131"/>
      <c r="X157" s="131"/>
    </row>
    <row r="158" spans="2:24" x14ac:dyDescent="0.2">
      <c r="B158" s="135"/>
      <c r="C158" s="135"/>
      <c r="D158" s="110"/>
      <c r="E158" s="135"/>
      <c r="F158" s="135"/>
      <c r="G158" s="143"/>
      <c r="H158" s="146"/>
      <c r="I158" s="135"/>
      <c r="J158" s="135"/>
      <c r="K158" s="135"/>
      <c r="L158" s="135"/>
      <c r="M158" s="135"/>
      <c r="N158" s="135"/>
      <c r="O158" s="135"/>
      <c r="P158" s="132"/>
      <c r="Q158" s="131"/>
      <c r="R158" s="131"/>
      <c r="S158" s="131"/>
      <c r="T158" s="131"/>
      <c r="U158" s="131"/>
      <c r="V158" s="131"/>
      <c r="W158" s="131"/>
      <c r="X158" s="131"/>
    </row>
    <row r="159" spans="2:24" x14ac:dyDescent="0.2">
      <c r="B159" s="135"/>
      <c r="C159" s="135"/>
      <c r="D159" s="110"/>
      <c r="E159" s="135"/>
      <c r="F159" s="135"/>
      <c r="G159" s="143"/>
      <c r="H159" s="146"/>
      <c r="I159" s="135"/>
      <c r="J159" s="135"/>
      <c r="K159" s="135"/>
      <c r="L159" s="135"/>
      <c r="M159" s="135"/>
      <c r="N159" s="135"/>
      <c r="O159" s="135"/>
      <c r="P159" s="132"/>
      <c r="Q159" s="131"/>
      <c r="R159" s="131"/>
      <c r="S159" s="131"/>
      <c r="T159" s="131"/>
      <c r="U159" s="131"/>
      <c r="V159" s="131"/>
      <c r="W159" s="131"/>
      <c r="X159" s="131"/>
    </row>
    <row r="160" spans="2:24" x14ac:dyDescent="0.2">
      <c r="B160" s="135"/>
      <c r="C160" s="135"/>
      <c r="D160" s="110"/>
      <c r="E160" s="135"/>
      <c r="F160" s="135"/>
      <c r="G160" s="143"/>
      <c r="H160" s="135"/>
      <c r="I160" s="146"/>
      <c r="J160" s="135"/>
      <c r="K160" s="147"/>
      <c r="L160" s="144"/>
      <c r="M160" s="135"/>
      <c r="N160" s="135"/>
      <c r="O160" s="135"/>
      <c r="P160" s="132"/>
      <c r="Q160" s="131"/>
      <c r="R160" s="131"/>
      <c r="S160" s="131"/>
      <c r="T160" s="131"/>
      <c r="U160" s="131"/>
      <c r="V160" s="131"/>
      <c r="W160" s="131"/>
      <c r="X160" s="131"/>
    </row>
    <row r="161" spans="2:24" x14ac:dyDescent="0.2">
      <c r="B161" s="135"/>
      <c r="C161" s="135"/>
      <c r="D161" s="110"/>
      <c r="E161" s="135"/>
      <c r="F161" s="135"/>
      <c r="G161" s="143"/>
      <c r="H161" s="135"/>
      <c r="I161" s="135"/>
      <c r="J161" s="146"/>
      <c r="K161" s="147"/>
      <c r="L161" s="144"/>
      <c r="M161" s="135"/>
      <c r="N161" s="135"/>
      <c r="O161" s="135"/>
      <c r="P161" s="132"/>
      <c r="Q161" s="148"/>
      <c r="R161" s="148"/>
      <c r="S161" s="148"/>
      <c r="T161" s="148"/>
      <c r="U161" s="148"/>
      <c r="V161" s="148"/>
      <c r="W161" s="148"/>
      <c r="X161" s="148"/>
    </row>
    <row r="162" spans="2:24" x14ac:dyDescent="0.2">
      <c r="B162" s="135"/>
      <c r="C162" s="135"/>
      <c r="D162" s="110"/>
      <c r="E162" s="135"/>
      <c r="F162" s="135"/>
      <c r="G162" s="143"/>
      <c r="H162" s="135"/>
      <c r="I162" s="146"/>
      <c r="J162" s="146"/>
      <c r="K162" s="147"/>
      <c r="L162" s="144"/>
      <c r="M162" s="135"/>
      <c r="N162" s="135"/>
      <c r="O162" s="135"/>
      <c r="P162" s="132"/>
      <c r="Q162" s="110"/>
      <c r="R162" s="110"/>
      <c r="S162" s="110"/>
      <c r="T162" s="110"/>
      <c r="U162" s="110"/>
      <c r="V162" s="110"/>
      <c r="W162" s="110"/>
      <c r="X162" s="110"/>
    </row>
    <row r="163" spans="2:24" x14ac:dyDescent="0.2">
      <c r="B163" s="135"/>
      <c r="C163" s="135"/>
      <c r="D163" s="133"/>
      <c r="E163" s="135"/>
      <c r="F163" s="135"/>
      <c r="G163" s="143"/>
      <c r="H163" s="135"/>
      <c r="I163" s="146"/>
      <c r="J163" s="135"/>
      <c r="K163" s="135"/>
      <c r="L163" s="149"/>
      <c r="M163" s="135"/>
      <c r="N163" s="135"/>
      <c r="O163" s="135"/>
      <c r="P163" s="132"/>
      <c r="Q163" s="131"/>
      <c r="R163" s="131"/>
      <c r="S163" s="131"/>
      <c r="T163" s="131"/>
      <c r="U163" s="131"/>
      <c r="V163" s="131"/>
      <c r="W163" s="131"/>
      <c r="X163" s="131"/>
    </row>
    <row r="164" spans="2:24" x14ac:dyDescent="0.2">
      <c r="B164" s="135"/>
      <c r="C164" s="135"/>
      <c r="D164" s="110"/>
      <c r="E164" s="135"/>
      <c r="F164" s="135"/>
      <c r="G164" s="143"/>
      <c r="H164" s="135"/>
      <c r="I164" s="135"/>
      <c r="J164" s="135"/>
      <c r="K164" s="135"/>
      <c r="L164" s="135"/>
      <c r="M164" s="135"/>
      <c r="N164" s="135"/>
      <c r="O164" s="135"/>
      <c r="P164" s="132"/>
      <c r="Q164" s="131"/>
      <c r="R164" s="131"/>
      <c r="S164" s="131"/>
      <c r="T164" s="131"/>
      <c r="U164" s="131"/>
      <c r="V164" s="131"/>
      <c r="W164" s="131"/>
      <c r="X164" s="131"/>
    </row>
    <row r="165" spans="2:24" x14ac:dyDescent="0.2">
      <c r="B165" s="135"/>
      <c r="C165" s="135"/>
      <c r="D165" s="110"/>
      <c r="E165" s="135"/>
      <c r="F165" s="135"/>
      <c r="G165" s="143"/>
      <c r="H165" s="135"/>
      <c r="I165" s="135"/>
      <c r="J165" s="135"/>
      <c r="K165" s="135"/>
      <c r="L165" s="135"/>
      <c r="M165" s="135"/>
      <c r="N165" s="135"/>
      <c r="O165" s="135"/>
      <c r="P165" s="132"/>
      <c r="Q165" s="131"/>
      <c r="R165" s="131"/>
      <c r="S165" s="131"/>
      <c r="T165" s="131"/>
      <c r="U165" s="131"/>
      <c r="V165" s="131"/>
      <c r="W165" s="131"/>
      <c r="X165" s="131"/>
    </row>
    <row r="166" spans="2:24" x14ac:dyDescent="0.2">
      <c r="D166" s="133"/>
      <c r="P166" s="132"/>
      <c r="Q166" s="131"/>
      <c r="R166" s="131"/>
      <c r="S166" s="131"/>
      <c r="T166" s="131"/>
      <c r="U166" s="131"/>
      <c r="V166" s="131"/>
      <c r="W166" s="131"/>
      <c r="X166" s="131"/>
    </row>
    <row r="167" spans="2:24" x14ac:dyDescent="0.2">
      <c r="D167" s="110"/>
      <c r="P167" s="132"/>
      <c r="Q167" s="131"/>
      <c r="R167" s="131"/>
      <c r="S167" s="131"/>
      <c r="T167" s="131"/>
      <c r="U167" s="131"/>
      <c r="V167" s="131"/>
      <c r="W167" s="131"/>
      <c r="X167" s="131"/>
    </row>
    <row r="168" spans="2:24" x14ac:dyDescent="0.2">
      <c r="D168" s="110"/>
      <c r="P168" s="132"/>
      <c r="Q168" s="131"/>
      <c r="R168" s="131"/>
      <c r="S168" s="131"/>
      <c r="T168" s="131"/>
      <c r="U168" s="131"/>
      <c r="V168" s="131"/>
      <c r="W168" s="131"/>
      <c r="X168" s="131"/>
    </row>
    <row r="169" spans="2:24" x14ac:dyDescent="0.2">
      <c r="D169" s="110"/>
      <c r="P169" s="132"/>
      <c r="Q169" s="131"/>
      <c r="R169" s="131"/>
      <c r="S169" s="131"/>
      <c r="T169" s="131"/>
      <c r="U169" s="131"/>
      <c r="V169" s="131"/>
      <c r="W169" s="131"/>
      <c r="X169" s="131"/>
    </row>
    <row r="170" spans="2:24" x14ac:dyDescent="0.2">
      <c r="D170" s="110"/>
      <c r="P170" s="132"/>
      <c r="Q170" s="131"/>
      <c r="R170" s="131"/>
      <c r="S170" s="131"/>
      <c r="T170" s="131"/>
      <c r="U170" s="131"/>
      <c r="V170" s="131"/>
      <c r="W170" s="131"/>
      <c r="X170" s="131"/>
    </row>
    <row r="171" spans="2:24" x14ac:dyDescent="0.2">
      <c r="D171" s="110"/>
      <c r="P171" s="132"/>
      <c r="Q171" s="148"/>
      <c r="R171" s="148"/>
      <c r="S171" s="148"/>
      <c r="T171" s="148"/>
      <c r="U171" s="148"/>
      <c r="V171" s="148"/>
      <c r="W171" s="148"/>
      <c r="X171" s="148"/>
    </row>
    <row r="172" spans="2:24" x14ac:dyDescent="0.2">
      <c r="D172" s="110"/>
      <c r="P172" s="132"/>
      <c r="Q172" s="131"/>
      <c r="R172" s="131"/>
      <c r="S172" s="131"/>
      <c r="T172" s="131"/>
      <c r="U172" s="131"/>
      <c r="V172" s="131"/>
      <c r="W172" s="131"/>
      <c r="X172" s="131"/>
    </row>
    <row r="173" spans="2:24" x14ac:dyDescent="0.2">
      <c r="D173" s="110"/>
      <c r="P173" s="132"/>
      <c r="Q173" s="131"/>
      <c r="R173" s="131"/>
      <c r="S173" s="131"/>
      <c r="T173" s="131"/>
      <c r="U173" s="131"/>
      <c r="V173" s="131"/>
      <c r="W173" s="131"/>
      <c r="X173" s="131"/>
    </row>
    <row r="174" spans="2:24" x14ac:dyDescent="0.2">
      <c r="D174" s="110"/>
      <c r="P174" s="132"/>
      <c r="Q174" s="131"/>
      <c r="R174" s="131"/>
      <c r="S174" s="131"/>
      <c r="T174" s="131"/>
      <c r="U174" s="131"/>
      <c r="V174" s="131"/>
      <c r="W174" s="131"/>
      <c r="X174" s="131"/>
    </row>
    <row r="175" spans="2:24" x14ac:dyDescent="0.2">
      <c r="D175" s="148"/>
      <c r="P175" s="132"/>
      <c r="Q175" s="131"/>
      <c r="R175" s="131"/>
      <c r="S175" s="131"/>
      <c r="T175" s="131"/>
      <c r="U175" s="131"/>
      <c r="V175" s="131"/>
      <c r="W175" s="131"/>
      <c r="X175" s="131"/>
    </row>
    <row r="176" spans="2:24" x14ac:dyDescent="0.2">
      <c r="D176" s="110"/>
      <c r="P176" s="132"/>
      <c r="Q176" s="131"/>
      <c r="R176" s="131"/>
      <c r="S176" s="131"/>
      <c r="T176" s="131"/>
      <c r="U176" s="131"/>
      <c r="V176" s="131"/>
      <c r="W176" s="131"/>
      <c r="X176" s="131"/>
    </row>
    <row r="177" spans="4:24" x14ac:dyDescent="0.2">
      <c r="D177" s="110"/>
      <c r="P177" s="132"/>
      <c r="Q177" s="131"/>
      <c r="R177" s="131"/>
      <c r="S177" s="131"/>
      <c r="T177" s="131"/>
      <c r="U177" s="131"/>
      <c r="V177" s="131"/>
      <c r="W177" s="131"/>
      <c r="X177" s="131"/>
    </row>
    <row r="178" spans="4:24" x14ac:dyDescent="0.2">
      <c r="D178" s="110"/>
      <c r="P178" s="132"/>
      <c r="Q178" s="131"/>
      <c r="R178" s="131"/>
      <c r="S178" s="131"/>
      <c r="T178" s="131"/>
      <c r="U178" s="131"/>
      <c r="V178" s="131"/>
      <c r="W178" s="131"/>
      <c r="X178" s="131"/>
    </row>
    <row r="179" spans="4:24" x14ac:dyDescent="0.2">
      <c r="D179" s="110"/>
      <c r="P179" s="132"/>
      <c r="Q179" s="131"/>
      <c r="R179" s="131"/>
      <c r="S179" s="131"/>
      <c r="T179" s="131"/>
      <c r="U179" s="131"/>
      <c r="V179" s="131"/>
      <c r="W179" s="131"/>
      <c r="X179" s="131"/>
    </row>
    <row r="180" spans="4:24" x14ac:dyDescent="0.2">
      <c r="D180" s="110"/>
      <c r="P180" s="132"/>
      <c r="Q180" s="131"/>
      <c r="R180" s="131"/>
      <c r="S180" s="131"/>
      <c r="T180" s="131"/>
      <c r="U180" s="131"/>
      <c r="V180" s="131"/>
      <c r="W180" s="131"/>
      <c r="X180" s="131"/>
    </row>
    <row r="181" spans="4:24" x14ac:dyDescent="0.2">
      <c r="D181" s="110"/>
      <c r="P181" s="132"/>
      <c r="Q181" s="131"/>
      <c r="R181" s="131"/>
      <c r="S181" s="131"/>
      <c r="T181" s="131"/>
      <c r="U181" s="131"/>
      <c r="V181" s="131"/>
      <c r="W181" s="131"/>
      <c r="X181" s="131"/>
    </row>
    <row r="182" spans="4:24" x14ac:dyDescent="0.2">
      <c r="D182" s="110"/>
      <c r="P182" s="132"/>
      <c r="Q182" s="148"/>
      <c r="R182" s="148"/>
      <c r="S182" s="148"/>
      <c r="T182" s="148"/>
      <c r="U182" s="148"/>
      <c r="V182" s="148"/>
      <c r="W182" s="148"/>
      <c r="X182" s="148"/>
    </row>
    <row r="183" spans="4:24" x14ac:dyDescent="0.2">
      <c r="D183" s="110"/>
      <c r="P183" s="132"/>
      <c r="Q183" s="110"/>
      <c r="R183" s="110"/>
      <c r="S183" s="110"/>
      <c r="T183" s="110"/>
      <c r="U183" s="110"/>
      <c r="V183" s="110"/>
      <c r="W183" s="110"/>
      <c r="X183" s="110"/>
    </row>
    <row r="184" spans="4:24" x14ac:dyDescent="0.2">
      <c r="D184" s="110"/>
      <c r="P184" s="132"/>
      <c r="Q184" s="131"/>
      <c r="R184" s="131"/>
      <c r="S184" s="131"/>
      <c r="T184" s="131"/>
      <c r="U184" s="131"/>
      <c r="V184" s="131"/>
      <c r="W184" s="131"/>
      <c r="X184" s="131"/>
    </row>
    <row r="185" spans="4:24" x14ac:dyDescent="0.2">
      <c r="D185" s="148"/>
      <c r="P185" s="132"/>
      <c r="Q185" s="131"/>
      <c r="R185" s="131"/>
      <c r="S185" s="131"/>
      <c r="T185" s="131"/>
      <c r="U185" s="131"/>
      <c r="V185" s="131"/>
      <c r="W185" s="131"/>
      <c r="X185" s="131"/>
    </row>
    <row r="186" spans="4:24" x14ac:dyDescent="0.2">
      <c r="D186" s="110"/>
      <c r="P186" s="132"/>
      <c r="Q186" s="131"/>
      <c r="R186" s="131"/>
      <c r="S186" s="131"/>
      <c r="T186" s="131"/>
      <c r="U186" s="131"/>
      <c r="V186" s="131"/>
      <c r="W186" s="131"/>
      <c r="X186" s="131"/>
    </row>
    <row r="187" spans="4:24" x14ac:dyDescent="0.2">
      <c r="D187" s="110"/>
      <c r="P187" s="132"/>
      <c r="Q187" s="131"/>
      <c r="R187" s="131"/>
      <c r="S187" s="131"/>
      <c r="T187" s="131"/>
      <c r="U187" s="131"/>
      <c r="V187" s="131"/>
      <c r="W187" s="131"/>
      <c r="X187" s="131"/>
    </row>
    <row r="188" spans="4:24" x14ac:dyDescent="0.2">
      <c r="D188" s="110"/>
      <c r="P188" s="132"/>
      <c r="Q188" s="131"/>
      <c r="R188" s="131"/>
      <c r="S188" s="131"/>
      <c r="T188" s="131"/>
      <c r="U188" s="131"/>
      <c r="V188" s="131"/>
      <c r="W188" s="131"/>
      <c r="X188" s="131"/>
    </row>
    <row r="189" spans="4:24" x14ac:dyDescent="0.2">
      <c r="D189" s="110"/>
      <c r="P189" s="132"/>
      <c r="Q189" s="131"/>
      <c r="R189" s="131"/>
      <c r="S189" s="131"/>
      <c r="T189" s="131"/>
      <c r="U189" s="131"/>
      <c r="V189" s="131"/>
      <c r="W189" s="131"/>
      <c r="X189" s="131"/>
    </row>
    <row r="190" spans="4:24" x14ac:dyDescent="0.2">
      <c r="D190" s="110"/>
      <c r="P190" s="132"/>
      <c r="Q190" s="148"/>
      <c r="R190" s="148"/>
      <c r="S190" s="148"/>
      <c r="T190" s="148"/>
      <c r="U190" s="148"/>
      <c r="V190" s="148"/>
      <c r="W190" s="148"/>
      <c r="X190" s="148"/>
    </row>
    <row r="191" spans="4:24" x14ac:dyDescent="0.2">
      <c r="D191" s="110"/>
      <c r="P191" s="132"/>
      <c r="Q191" s="131"/>
      <c r="R191" s="131"/>
      <c r="S191" s="131"/>
      <c r="T191" s="131"/>
      <c r="U191" s="131"/>
      <c r="V191" s="131"/>
      <c r="W191" s="131"/>
      <c r="X191" s="131"/>
    </row>
    <row r="192" spans="4:24" x14ac:dyDescent="0.2">
      <c r="D192" s="110"/>
      <c r="P192" s="132"/>
      <c r="Q192" s="131"/>
      <c r="R192" s="131"/>
      <c r="S192" s="131"/>
      <c r="T192" s="131"/>
      <c r="U192" s="131"/>
      <c r="V192" s="131"/>
      <c r="W192" s="131"/>
      <c r="X192" s="131"/>
    </row>
    <row r="193" spans="4:24" x14ac:dyDescent="0.2">
      <c r="D193" s="110"/>
      <c r="P193" s="132"/>
      <c r="Q193" s="131"/>
      <c r="R193" s="131"/>
      <c r="S193" s="131"/>
      <c r="T193" s="131"/>
      <c r="U193" s="131"/>
      <c r="V193" s="131"/>
      <c r="W193" s="131"/>
      <c r="X193" s="131"/>
    </row>
    <row r="194" spans="4:24" x14ac:dyDescent="0.2">
      <c r="D194" s="110"/>
      <c r="P194" s="132"/>
      <c r="Q194" s="131"/>
      <c r="R194" s="131"/>
      <c r="S194" s="131"/>
      <c r="T194" s="131"/>
      <c r="U194" s="131"/>
      <c r="V194" s="131"/>
      <c r="W194" s="131"/>
      <c r="X194" s="131"/>
    </row>
    <row r="195" spans="4:24" x14ac:dyDescent="0.2">
      <c r="D195" s="110"/>
      <c r="P195" s="132"/>
      <c r="Q195" s="131"/>
      <c r="R195" s="131"/>
      <c r="S195" s="131"/>
      <c r="T195" s="131"/>
      <c r="U195" s="131"/>
      <c r="V195" s="131"/>
      <c r="W195" s="131"/>
      <c r="X195" s="131"/>
    </row>
    <row r="196" spans="4:24" x14ac:dyDescent="0.2">
      <c r="D196" s="148"/>
      <c r="P196" s="132"/>
      <c r="Q196" s="131"/>
      <c r="R196" s="131"/>
      <c r="S196" s="131"/>
      <c r="T196" s="131"/>
      <c r="U196" s="131"/>
      <c r="V196" s="131"/>
      <c r="W196" s="131"/>
      <c r="X196" s="131"/>
    </row>
    <row r="197" spans="4:24" x14ac:dyDescent="0.2">
      <c r="D197" s="110"/>
      <c r="P197" s="132"/>
      <c r="Q197" s="131"/>
      <c r="R197" s="131"/>
      <c r="S197" s="131"/>
      <c r="T197" s="131"/>
      <c r="U197" s="131"/>
      <c r="V197" s="131"/>
      <c r="W197" s="131"/>
      <c r="X197" s="131"/>
    </row>
    <row r="198" spans="4:24" x14ac:dyDescent="0.2">
      <c r="D198" s="110"/>
      <c r="P198" s="132"/>
      <c r="Q198" s="148"/>
      <c r="R198" s="148"/>
      <c r="S198" s="148"/>
      <c r="T198" s="148"/>
      <c r="U198" s="148"/>
      <c r="V198" s="148"/>
      <c r="W198" s="148"/>
      <c r="X198" s="148"/>
    </row>
    <row r="199" spans="4:24" x14ac:dyDescent="0.2">
      <c r="D199" s="110"/>
      <c r="P199" s="132"/>
      <c r="Q199" s="131"/>
      <c r="R199" s="131"/>
      <c r="S199" s="131"/>
      <c r="T199" s="131"/>
      <c r="U199" s="131"/>
      <c r="V199" s="131"/>
      <c r="W199" s="131"/>
      <c r="X199" s="131"/>
    </row>
    <row r="200" spans="4:24" x14ac:dyDescent="0.2">
      <c r="D200" s="110"/>
      <c r="P200" s="132"/>
      <c r="Q200" s="131"/>
      <c r="R200" s="131"/>
      <c r="S200" s="131"/>
      <c r="T200" s="131"/>
      <c r="U200" s="131"/>
      <c r="V200" s="131"/>
      <c r="W200" s="131"/>
      <c r="X200" s="131"/>
    </row>
    <row r="201" spans="4:24" x14ac:dyDescent="0.2">
      <c r="D201" s="110"/>
      <c r="P201" s="132"/>
      <c r="Q201" s="131"/>
      <c r="R201" s="131"/>
      <c r="S201" s="131"/>
      <c r="T201" s="131"/>
      <c r="U201" s="131"/>
      <c r="V201" s="131"/>
      <c r="W201" s="131"/>
      <c r="X201" s="131"/>
    </row>
    <row r="202" spans="4:24" x14ac:dyDescent="0.2">
      <c r="D202" s="110"/>
      <c r="P202" s="132"/>
      <c r="Q202" s="131"/>
      <c r="R202" s="131"/>
      <c r="S202" s="131"/>
      <c r="T202" s="131"/>
      <c r="U202" s="131"/>
      <c r="V202" s="131"/>
      <c r="W202" s="131"/>
      <c r="X202" s="131"/>
    </row>
    <row r="203" spans="4:24" x14ac:dyDescent="0.2">
      <c r="D203" s="110"/>
      <c r="P203" s="132"/>
      <c r="Q203" s="131"/>
      <c r="R203" s="131"/>
      <c r="S203" s="131"/>
      <c r="T203" s="131"/>
      <c r="U203" s="131"/>
      <c r="V203" s="131"/>
      <c r="W203" s="131"/>
      <c r="X203" s="131"/>
    </row>
    <row r="204" spans="4:24" x14ac:dyDescent="0.2">
      <c r="D204" s="148"/>
      <c r="P204" s="132"/>
      <c r="Q204" s="148"/>
      <c r="R204" s="148"/>
      <c r="S204" s="148"/>
      <c r="T204" s="148"/>
      <c r="U204" s="148"/>
      <c r="V204" s="148"/>
      <c r="W204" s="148"/>
      <c r="X204" s="148"/>
    </row>
    <row r="205" spans="4:24" x14ac:dyDescent="0.2">
      <c r="D205" s="110"/>
      <c r="P205" s="132"/>
      <c r="Q205" s="150"/>
      <c r="R205" s="150"/>
      <c r="S205" s="150"/>
      <c r="T205" s="150"/>
      <c r="U205" s="150"/>
      <c r="V205" s="150"/>
      <c r="W205" s="150"/>
      <c r="X205" s="150"/>
    </row>
    <row r="206" spans="4:24" x14ac:dyDescent="0.2">
      <c r="D206" s="110"/>
      <c r="P206" s="132"/>
      <c r="Q206" s="131"/>
      <c r="R206" s="131"/>
      <c r="S206" s="131"/>
      <c r="T206" s="131"/>
      <c r="U206" s="131"/>
      <c r="V206" s="131"/>
      <c r="W206" s="131"/>
      <c r="X206" s="131"/>
    </row>
    <row r="207" spans="4:24" x14ac:dyDescent="0.2">
      <c r="D207" s="110"/>
      <c r="P207" s="132"/>
      <c r="Q207" s="131"/>
      <c r="R207" s="131"/>
      <c r="S207" s="131"/>
      <c r="T207" s="131"/>
      <c r="U207" s="131"/>
      <c r="V207" s="131"/>
      <c r="W207" s="131"/>
      <c r="X207" s="131"/>
    </row>
    <row r="208" spans="4:24" x14ac:dyDescent="0.2">
      <c r="D208" s="110"/>
      <c r="P208" s="132"/>
      <c r="Q208" s="131"/>
      <c r="R208" s="131"/>
      <c r="S208" s="131"/>
      <c r="T208" s="131"/>
      <c r="U208" s="131"/>
      <c r="V208" s="131"/>
      <c r="W208" s="131"/>
      <c r="X208" s="131"/>
    </row>
    <row r="209" spans="4:24" x14ac:dyDescent="0.2">
      <c r="D209" s="110"/>
      <c r="P209" s="132"/>
      <c r="Q209" s="131"/>
      <c r="R209" s="131"/>
      <c r="S209" s="131"/>
      <c r="T209" s="131"/>
      <c r="U209" s="131"/>
      <c r="V209" s="131"/>
      <c r="W209" s="131"/>
      <c r="X209" s="131"/>
    </row>
    <row r="210" spans="4:24" x14ac:dyDescent="0.2">
      <c r="D210" s="110"/>
      <c r="P210" s="132"/>
      <c r="Q210" s="148"/>
      <c r="R210" s="148"/>
      <c r="S210" s="148"/>
      <c r="T210" s="148"/>
      <c r="U210" s="148"/>
      <c r="V210" s="148"/>
      <c r="W210" s="148"/>
      <c r="X210" s="148"/>
    </row>
    <row r="211" spans="4:24" x14ac:dyDescent="0.2">
      <c r="D211" s="110"/>
      <c r="P211" s="132"/>
      <c r="Q211" s="150"/>
      <c r="R211" s="150"/>
      <c r="S211" s="150"/>
      <c r="T211" s="150"/>
      <c r="U211" s="150"/>
      <c r="V211" s="150"/>
      <c r="W211" s="150"/>
      <c r="X211" s="150"/>
    </row>
    <row r="212" spans="4:24" x14ac:dyDescent="0.2">
      <c r="D212" s="110"/>
      <c r="P212" s="132"/>
      <c r="Q212" s="131"/>
      <c r="R212" s="131"/>
      <c r="S212" s="131"/>
      <c r="T212" s="131"/>
      <c r="U212" s="131"/>
      <c r="V212" s="131"/>
      <c r="W212" s="131"/>
      <c r="X212" s="131"/>
    </row>
    <row r="213" spans="4:24" x14ac:dyDescent="0.2">
      <c r="D213" s="110"/>
      <c r="P213" s="132"/>
      <c r="Q213" s="131"/>
      <c r="R213" s="131"/>
      <c r="S213" s="131"/>
      <c r="T213" s="131"/>
      <c r="U213" s="131"/>
      <c r="V213" s="131"/>
      <c r="W213" s="131"/>
      <c r="X213" s="131"/>
    </row>
    <row r="214" spans="4:24" x14ac:dyDescent="0.2">
      <c r="D214" s="148"/>
      <c r="P214" s="132"/>
      <c r="Q214" s="131"/>
      <c r="R214" s="131"/>
      <c r="S214" s="131"/>
      <c r="T214" s="131"/>
      <c r="U214" s="131"/>
      <c r="V214" s="131"/>
      <c r="W214" s="131"/>
      <c r="X214" s="131"/>
    </row>
    <row r="215" spans="4:24" x14ac:dyDescent="0.2">
      <c r="D215" s="110"/>
      <c r="P215" s="132"/>
      <c r="Q215" s="131"/>
      <c r="R215" s="131"/>
      <c r="S215" s="131"/>
      <c r="T215" s="131"/>
      <c r="U215" s="131"/>
      <c r="V215" s="131"/>
      <c r="W215" s="131"/>
      <c r="X215" s="131"/>
    </row>
    <row r="216" spans="4:24" x14ac:dyDescent="0.2">
      <c r="D216" s="110"/>
      <c r="P216" s="132"/>
      <c r="Q216" s="131"/>
      <c r="R216" s="131"/>
      <c r="S216" s="131"/>
      <c r="T216" s="131"/>
      <c r="U216" s="131"/>
      <c r="V216" s="131"/>
      <c r="W216" s="131"/>
      <c r="X216" s="131"/>
    </row>
    <row r="217" spans="4:24" x14ac:dyDescent="0.2">
      <c r="D217" s="110"/>
      <c r="P217" s="132"/>
      <c r="Q217" s="148"/>
      <c r="R217" s="148"/>
      <c r="S217" s="148"/>
      <c r="T217" s="148"/>
      <c r="U217" s="148"/>
      <c r="V217" s="148"/>
      <c r="W217" s="148"/>
      <c r="X217" s="148"/>
    </row>
    <row r="218" spans="4:24" x14ac:dyDescent="0.2">
      <c r="D218" s="110"/>
      <c r="P218" s="132"/>
      <c r="Q218" s="150"/>
      <c r="R218" s="150"/>
      <c r="S218" s="150"/>
      <c r="T218" s="150"/>
      <c r="U218" s="150"/>
      <c r="V218" s="150"/>
      <c r="W218" s="150"/>
      <c r="X218" s="150"/>
    </row>
    <row r="219" spans="4:24" x14ac:dyDescent="0.2">
      <c r="D219" s="110"/>
      <c r="P219" s="132"/>
      <c r="Q219" s="131"/>
      <c r="R219" s="131"/>
      <c r="S219" s="131"/>
      <c r="T219" s="131"/>
      <c r="U219" s="131"/>
      <c r="V219" s="131"/>
      <c r="W219" s="131"/>
      <c r="X219" s="131"/>
    </row>
    <row r="220" spans="4:24" x14ac:dyDescent="0.2">
      <c r="D220" s="148"/>
      <c r="P220" s="132"/>
      <c r="Q220" s="131"/>
      <c r="R220" s="131"/>
      <c r="S220" s="131"/>
      <c r="T220" s="131"/>
      <c r="U220" s="131"/>
      <c r="V220" s="131"/>
      <c r="W220" s="131"/>
      <c r="X220" s="131"/>
    </row>
    <row r="221" spans="4:24" x14ac:dyDescent="0.2">
      <c r="D221" s="148"/>
      <c r="P221" s="132"/>
      <c r="Q221" s="131"/>
      <c r="R221" s="131"/>
      <c r="S221" s="131"/>
      <c r="T221" s="131"/>
      <c r="U221" s="131"/>
      <c r="V221" s="131"/>
      <c r="W221" s="131"/>
      <c r="X221" s="131"/>
    </row>
    <row r="222" spans="4:24" x14ac:dyDescent="0.2">
      <c r="D222" s="110"/>
      <c r="P222" s="132"/>
      <c r="Q222" s="131"/>
      <c r="R222" s="131"/>
      <c r="S222" s="131"/>
      <c r="T222" s="131"/>
      <c r="U222" s="131"/>
      <c r="V222" s="131"/>
      <c r="W222" s="131"/>
      <c r="X222" s="131"/>
    </row>
    <row r="223" spans="4:24" x14ac:dyDescent="0.2">
      <c r="D223" s="110"/>
      <c r="P223" s="132"/>
      <c r="Q223" s="131"/>
      <c r="R223" s="131"/>
      <c r="S223" s="131"/>
      <c r="T223" s="131"/>
      <c r="U223" s="131"/>
      <c r="V223" s="131"/>
      <c r="W223" s="131"/>
      <c r="X223" s="131"/>
    </row>
    <row r="224" spans="4:24" x14ac:dyDescent="0.2">
      <c r="D224" s="110"/>
      <c r="P224" s="132"/>
      <c r="Q224" s="148"/>
      <c r="R224" s="148"/>
      <c r="S224" s="148"/>
      <c r="T224" s="148"/>
      <c r="U224" s="148"/>
      <c r="V224" s="148"/>
      <c r="W224" s="148"/>
      <c r="X224" s="148"/>
    </row>
    <row r="225" spans="4:24" x14ac:dyDescent="0.2">
      <c r="D225" s="110"/>
      <c r="P225" s="132"/>
      <c r="Q225" s="150"/>
      <c r="R225" s="150"/>
      <c r="S225" s="150"/>
      <c r="T225" s="150"/>
      <c r="U225" s="150"/>
      <c r="V225" s="150"/>
      <c r="W225" s="150"/>
      <c r="X225" s="150"/>
    </row>
    <row r="226" spans="4:24" x14ac:dyDescent="0.2">
      <c r="D226" s="148"/>
      <c r="P226" s="132"/>
      <c r="Q226" s="131"/>
      <c r="R226" s="131"/>
      <c r="S226" s="131"/>
      <c r="T226" s="131"/>
      <c r="U226" s="131"/>
      <c r="V226" s="131"/>
      <c r="W226" s="131"/>
      <c r="X226" s="131"/>
    </row>
    <row r="227" spans="4:24" x14ac:dyDescent="0.2">
      <c r="D227" s="148"/>
      <c r="P227" s="132"/>
      <c r="Q227" s="131"/>
      <c r="R227" s="131"/>
      <c r="S227" s="131"/>
      <c r="T227" s="131"/>
      <c r="U227" s="131"/>
      <c r="V227" s="131"/>
      <c r="W227" s="131"/>
      <c r="X227" s="131"/>
    </row>
    <row r="228" spans="4:24" x14ac:dyDescent="0.2">
      <c r="D228" s="110"/>
      <c r="P228" s="132"/>
      <c r="Q228" s="131"/>
      <c r="R228" s="131"/>
      <c r="S228" s="131"/>
      <c r="T228" s="131"/>
      <c r="U228" s="131"/>
      <c r="V228" s="131"/>
      <c r="W228" s="131"/>
      <c r="X228" s="131"/>
    </row>
    <row r="229" spans="4:24" x14ac:dyDescent="0.2">
      <c r="D229" s="110"/>
      <c r="P229" s="132"/>
      <c r="Q229" s="131"/>
      <c r="R229" s="131"/>
      <c r="S229" s="131"/>
      <c r="T229" s="131"/>
      <c r="U229" s="131"/>
      <c r="V229" s="131"/>
      <c r="W229" s="131"/>
      <c r="X229" s="131"/>
    </row>
    <row r="230" spans="4:24" x14ac:dyDescent="0.2">
      <c r="D230" s="110"/>
      <c r="P230" s="132"/>
      <c r="Q230" s="131"/>
      <c r="R230" s="131"/>
      <c r="S230" s="131"/>
      <c r="T230" s="131"/>
      <c r="U230" s="131"/>
      <c r="V230" s="131"/>
      <c r="W230" s="131"/>
      <c r="X230" s="131"/>
    </row>
    <row r="231" spans="4:24" x14ac:dyDescent="0.2">
      <c r="D231" s="110"/>
      <c r="P231" s="132"/>
      <c r="Q231" s="131"/>
      <c r="R231" s="131"/>
      <c r="S231" s="131"/>
      <c r="T231" s="131"/>
      <c r="U231" s="131"/>
      <c r="V231" s="131"/>
      <c r="W231" s="131"/>
      <c r="X231" s="131"/>
    </row>
    <row r="232" spans="4:24" x14ac:dyDescent="0.2">
      <c r="D232" s="110"/>
      <c r="P232" s="132"/>
      <c r="Q232" s="148"/>
      <c r="R232" s="148"/>
      <c r="S232" s="148"/>
      <c r="T232" s="148"/>
      <c r="U232" s="148"/>
      <c r="V232" s="148"/>
      <c r="W232" s="148"/>
      <c r="X232" s="148"/>
    </row>
    <row r="233" spans="4:24" x14ac:dyDescent="0.2">
      <c r="D233" s="148"/>
      <c r="P233" s="132"/>
      <c r="Q233" s="150"/>
      <c r="R233" s="150"/>
      <c r="S233" s="150"/>
      <c r="T233" s="150"/>
      <c r="U233" s="150"/>
      <c r="V233" s="150"/>
      <c r="W233" s="150"/>
      <c r="X233" s="150"/>
    </row>
    <row r="234" spans="4:24" x14ac:dyDescent="0.2">
      <c r="D234" s="148"/>
      <c r="P234" s="132"/>
      <c r="Q234" s="131"/>
      <c r="R234" s="131"/>
      <c r="S234" s="131"/>
      <c r="T234" s="131"/>
      <c r="U234" s="131"/>
      <c r="V234" s="131"/>
      <c r="W234" s="131"/>
      <c r="X234" s="131"/>
    </row>
    <row r="235" spans="4:24" x14ac:dyDescent="0.2">
      <c r="D235" s="110"/>
      <c r="P235" s="132"/>
      <c r="Q235" s="131"/>
      <c r="R235" s="131"/>
      <c r="S235" s="131"/>
      <c r="T235" s="131"/>
      <c r="U235" s="131"/>
      <c r="V235" s="131"/>
      <c r="W235" s="131"/>
      <c r="X235" s="131"/>
    </row>
    <row r="236" spans="4:24" x14ac:dyDescent="0.2">
      <c r="D236" s="110"/>
      <c r="P236" s="132"/>
      <c r="Q236" s="131"/>
      <c r="R236" s="131"/>
      <c r="S236" s="131"/>
      <c r="T236" s="131"/>
      <c r="U236" s="131"/>
      <c r="V236" s="131"/>
      <c r="W236" s="131"/>
      <c r="X236" s="131"/>
    </row>
    <row r="237" spans="4:24" x14ac:dyDescent="0.2">
      <c r="D237" s="110"/>
      <c r="P237" s="132"/>
      <c r="Q237" s="131"/>
      <c r="R237" s="131"/>
      <c r="S237" s="131"/>
      <c r="T237" s="131"/>
      <c r="U237" s="131"/>
      <c r="V237" s="131"/>
      <c r="W237" s="131"/>
      <c r="X237" s="131"/>
    </row>
    <row r="238" spans="4:24" x14ac:dyDescent="0.2">
      <c r="D238" s="110"/>
      <c r="P238" s="132"/>
      <c r="Q238" s="148"/>
      <c r="R238" s="148"/>
      <c r="S238" s="148"/>
      <c r="T238" s="148"/>
      <c r="U238" s="148"/>
      <c r="V238" s="148"/>
      <c r="W238" s="148"/>
      <c r="X238" s="148"/>
    </row>
    <row r="239" spans="4:24" x14ac:dyDescent="0.2">
      <c r="D239" s="110"/>
      <c r="P239" s="132"/>
      <c r="Q239" s="150"/>
      <c r="R239" s="150"/>
      <c r="S239" s="150"/>
      <c r="T239" s="150"/>
      <c r="U239" s="150"/>
      <c r="V239" s="150"/>
      <c r="W239" s="150"/>
      <c r="X239" s="150"/>
    </row>
    <row r="240" spans="4:24" x14ac:dyDescent="0.2">
      <c r="D240" s="148"/>
      <c r="P240" s="132"/>
      <c r="Q240" s="131"/>
      <c r="R240" s="131"/>
      <c r="S240" s="131"/>
      <c r="T240" s="131"/>
      <c r="U240" s="131"/>
      <c r="V240" s="131"/>
      <c r="W240" s="131"/>
      <c r="X240" s="131"/>
    </row>
    <row r="241" spans="4:24" x14ac:dyDescent="0.2">
      <c r="D241" s="148"/>
      <c r="P241" s="132"/>
      <c r="Q241" s="131"/>
      <c r="R241" s="131"/>
      <c r="S241" s="131"/>
      <c r="T241" s="131"/>
      <c r="U241" s="131"/>
      <c r="V241" s="131"/>
      <c r="W241" s="131"/>
      <c r="X241" s="131"/>
    </row>
    <row r="242" spans="4:24" x14ac:dyDescent="0.2">
      <c r="D242" s="110"/>
      <c r="P242" s="132"/>
      <c r="Q242" s="131"/>
      <c r="R242" s="131"/>
      <c r="S242" s="131"/>
      <c r="T242" s="131"/>
      <c r="U242" s="131"/>
      <c r="V242" s="131"/>
      <c r="W242" s="131"/>
      <c r="X242" s="131"/>
    </row>
    <row r="243" spans="4:24" x14ac:dyDescent="0.2">
      <c r="D243" s="110"/>
      <c r="P243" s="132"/>
      <c r="Q243" s="131"/>
      <c r="R243" s="131"/>
      <c r="S243" s="131"/>
      <c r="T243" s="131"/>
      <c r="U243" s="131"/>
      <c r="V243" s="131"/>
      <c r="W243" s="131"/>
      <c r="X243" s="131"/>
    </row>
    <row r="244" spans="4:24" x14ac:dyDescent="0.2">
      <c r="D244" s="110"/>
      <c r="P244" s="132"/>
      <c r="Q244" s="131"/>
      <c r="R244" s="131"/>
      <c r="S244" s="131"/>
      <c r="T244" s="131"/>
      <c r="U244" s="131"/>
      <c r="V244" s="131"/>
      <c r="W244" s="131"/>
      <c r="X244" s="131"/>
    </row>
    <row r="245" spans="4:24" x14ac:dyDescent="0.2">
      <c r="D245" s="110"/>
      <c r="P245" s="132"/>
      <c r="Q245" s="148"/>
      <c r="R245" s="148"/>
      <c r="S245" s="148"/>
      <c r="T245" s="148"/>
      <c r="U245" s="148"/>
      <c r="V245" s="148"/>
      <c r="W245" s="148"/>
      <c r="X245" s="148"/>
    </row>
    <row r="246" spans="4:24" x14ac:dyDescent="0.2">
      <c r="D246" s="110"/>
      <c r="P246" s="132"/>
      <c r="Q246" s="131"/>
      <c r="R246" s="131"/>
      <c r="S246" s="131"/>
      <c r="T246" s="131"/>
      <c r="U246" s="131"/>
      <c r="V246" s="131"/>
      <c r="W246" s="131"/>
      <c r="X246" s="131"/>
    </row>
    <row r="247" spans="4:24" x14ac:dyDescent="0.2">
      <c r="D247" s="110"/>
      <c r="P247" s="132"/>
      <c r="Q247" s="131"/>
      <c r="R247" s="131"/>
      <c r="S247" s="131"/>
      <c r="T247" s="131"/>
      <c r="U247" s="131"/>
      <c r="V247" s="131"/>
      <c r="W247" s="131"/>
      <c r="X247" s="131"/>
    </row>
    <row r="248" spans="4:24" x14ac:dyDescent="0.2">
      <c r="D248" s="148"/>
      <c r="P248" s="132"/>
      <c r="Q248" s="131"/>
      <c r="R248" s="131"/>
      <c r="S248" s="131"/>
      <c r="T248" s="131"/>
      <c r="U248" s="131"/>
      <c r="V248" s="131"/>
      <c r="W248" s="131"/>
      <c r="X248" s="131"/>
    </row>
    <row r="249" spans="4:24" x14ac:dyDescent="0.2">
      <c r="D249" s="148"/>
      <c r="P249" s="132"/>
      <c r="Q249" s="131"/>
      <c r="R249" s="131"/>
      <c r="S249" s="131"/>
      <c r="T249" s="131"/>
      <c r="U249" s="131"/>
      <c r="V249" s="131"/>
      <c r="W249" s="131"/>
      <c r="X249" s="131"/>
    </row>
    <row r="250" spans="4:24" x14ac:dyDescent="0.2">
      <c r="D250" s="110"/>
      <c r="P250" s="132"/>
      <c r="Q250" s="131"/>
      <c r="R250" s="131"/>
      <c r="S250" s="131"/>
      <c r="T250" s="131"/>
      <c r="U250" s="131"/>
      <c r="V250" s="131"/>
      <c r="W250" s="131"/>
      <c r="X250" s="131"/>
    </row>
    <row r="251" spans="4:24" x14ac:dyDescent="0.2">
      <c r="D251" s="110"/>
      <c r="P251" s="132"/>
      <c r="Q251" s="148"/>
      <c r="R251" s="148"/>
      <c r="S251" s="148"/>
      <c r="T251" s="148"/>
      <c r="U251" s="148"/>
      <c r="V251" s="148"/>
      <c r="W251" s="148"/>
      <c r="X251" s="148"/>
    </row>
    <row r="252" spans="4:24" x14ac:dyDescent="0.2">
      <c r="D252" s="110"/>
      <c r="P252" s="132"/>
      <c r="Q252" s="151"/>
      <c r="R252" s="151"/>
      <c r="S252" s="151"/>
      <c r="T252" s="151"/>
      <c r="U252" s="151"/>
      <c r="V252" s="151"/>
      <c r="W252" s="151"/>
      <c r="X252" s="151"/>
    </row>
    <row r="253" spans="4:24" x14ac:dyDescent="0.2">
      <c r="D253" s="110"/>
      <c r="P253" s="132"/>
      <c r="Q253" s="132"/>
      <c r="R253" s="132"/>
      <c r="S253" s="132"/>
      <c r="T253" s="132"/>
      <c r="U253" s="132"/>
      <c r="V253" s="132"/>
      <c r="W253" s="132"/>
      <c r="X253" s="132"/>
    </row>
    <row r="254" spans="4:24" x14ac:dyDescent="0.2">
      <c r="D254" s="148"/>
      <c r="P254" s="132"/>
      <c r="Q254" s="132"/>
      <c r="R254" s="132"/>
      <c r="S254" s="132"/>
      <c r="T254" s="132"/>
      <c r="U254" s="132"/>
      <c r="V254" s="132"/>
      <c r="W254" s="132"/>
      <c r="X254" s="132"/>
    </row>
    <row r="255" spans="4:24" x14ac:dyDescent="0.2">
      <c r="D255" s="148"/>
      <c r="P255" s="132"/>
      <c r="Q255" s="132"/>
      <c r="R255" s="132"/>
      <c r="S255" s="132"/>
      <c r="T255" s="132"/>
      <c r="U255" s="132"/>
      <c r="V255" s="132"/>
      <c r="W255" s="132"/>
      <c r="X255" s="132"/>
    </row>
    <row r="256" spans="4:24" x14ac:dyDescent="0.2">
      <c r="D256" s="110"/>
      <c r="P256" s="132"/>
      <c r="Q256" s="132"/>
      <c r="R256" s="132"/>
      <c r="S256" s="132"/>
      <c r="T256" s="132"/>
      <c r="U256" s="132"/>
      <c r="V256" s="132"/>
      <c r="W256" s="132"/>
      <c r="X256" s="132"/>
    </row>
    <row r="257" spans="4:24" x14ac:dyDescent="0.2">
      <c r="D257" s="110"/>
      <c r="P257" s="132"/>
      <c r="Q257" s="132"/>
      <c r="R257" s="132"/>
      <c r="S257" s="132"/>
      <c r="T257" s="132"/>
      <c r="U257" s="132"/>
      <c r="V257" s="132"/>
      <c r="W257" s="132"/>
      <c r="X257" s="132"/>
    </row>
    <row r="258" spans="4:24" x14ac:dyDescent="0.2">
      <c r="D258" s="110"/>
      <c r="P258" s="132"/>
      <c r="Q258" s="132"/>
      <c r="R258" s="132"/>
      <c r="S258" s="132"/>
      <c r="T258" s="132"/>
      <c r="U258" s="132"/>
      <c r="V258" s="132"/>
      <c r="W258" s="132"/>
      <c r="X258" s="132"/>
    </row>
    <row r="259" spans="4:24" x14ac:dyDescent="0.2">
      <c r="D259" s="110"/>
      <c r="P259" s="132"/>
      <c r="Q259" s="132"/>
      <c r="R259" s="132"/>
      <c r="S259" s="132"/>
      <c r="T259" s="132"/>
      <c r="U259" s="132"/>
      <c r="V259" s="132"/>
      <c r="W259" s="132"/>
      <c r="X259" s="132"/>
    </row>
    <row r="260" spans="4:24" x14ac:dyDescent="0.2">
      <c r="D260" s="110"/>
      <c r="P260" s="132"/>
      <c r="Q260" s="132"/>
      <c r="R260" s="132"/>
      <c r="S260" s="132"/>
      <c r="T260" s="132"/>
      <c r="U260" s="132"/>
      <c r="V260" s="132"/>
      <c r="W260" s="132"/>
      <c r="X260" s="132"/>
    </row>
    <row r="261" spans="4:24" x14ac:dyDescent="0.2">
      <c r="D261" s="148"/>
      <c r="P261" s="132"/>
      <c r="Q261" s="132"/>
      <c r="R261" s="132"/>
      <c r="S261" s="132"/>
      <c r="T261" s="132"/>
      <c r="U261" s="132"/>
      <c r="V261" s="132"/>
      <c r="W261" s="132"/>
      <c r="X261" s="132"/>
    </row>
    <row r="262" spans="4:24" x14ac:dyDescent="0.2">
      <c r="D262" s="148"/>
      <c r="P262" s="132"/>
      <c r="Q262" s="132"/>
      <c r="R262" s="132"/>
      <c r="S262" s="132"/>
      <c r="T262" s="132"/>
      <c r="U262" s="132"/>
      <c r="V262" s="132"/>
      <c r="W262" s="132"/>
      <c r="X262" s="132"/>
    </row>
    <row r="263" spans="4:24" x14ac:dyDescent="0.2">
      <c r="D263" s="110"/>
      <c r="P263" s="132"/>
      <c r="Q263" s="132"/>
      <c r="R263" s="132"/>
      <c r="S263" s="132"/>
      <c r="T263" s="132"/>
      <c r="U263" s="132"/>
      <c r="V263" s="132"/>
      <c r="W263" s="132"/>
      <c r="X263" s="132"/>
    </row>
    <row r="264" spans="4:24" x14ac:dyDescent="0.2">
      <c r="D264" s="110"/>
      <c r="P264" s="132"/>
      <c r="Q264" s="132"/>
      <c r="R264" s="132"/>
      <c r="S264" s="132"/>
      <c r="T264" s="132"/>
      <c r="U264" s="132"/>
      <c r="V264" s="132"/>
      <c r="W264" s="132"/>
      <c r="X264" s="132"/>
    </row>
    <row r="265" spans="4:24" x14ac:dyDescent="0.2">
      <c r="D265" s="110"/>
      <c r="P265" s="132"/>
      <c r="Q265" s="132"/>
      <c r="R265" s="132"/>
      <c r="S265" s="132"/>
      <c r="T265" s="132"/>
      <c r="U265" s="132"/>
      <c r="V265" s="132"/>
      <c r="W265" s="132"/>
      <c r="X265" s="132"/>
    </row>
    <row r="266" spans="4:24" x14ac:dyDescent="0.2">
      <c r="D266" s="110"/>
      <c r="P266" s="132"/>
      <c r="Q266" s="132"/>
      <c r="R266" s="132"/>
      <c r="S266" s="132"/>
      <c r="T266" s="132"/>
      <c r="U266" s="132"/>
      <c r="V266" s="132"/>
      <c r="W266" s="132"/>
      <c r="X266" s="132"/>
    </row>
    <row r="267" spans="4:24" x14ac:dyDescent="0.2">
      <c r="D267" s="148"/>
    </row>
    <row r="268" spans="4:24" x14ac:dyDescent="0.2">
      <c r="D268" s="151"/>
    </row>
  </sheetData>
  <mergeCells count="8">
    <mergeCell ref="BG5:BL5"/>
    <mergeCell ref="BT14:BV14"/>
    <mergeCell ref="B2:I2"/>
    <mergeCell ref="B3:I3"/>
    <mergeCell ref="B4:I4"/>
    <mergeCell ref="B5:I5"/>
    <mergeCell ref="AP5:AX5"/>
    <mergeCell ref="BA5:BE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 2017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Claudia Flores Ponce</cp:lastModifiedBy>
  <dcterms:created xsi:type="dcterms:W3CDTF">2017-03-14T00:39:15Z</dcterms:created>
  <dcterms:modified xsi:type="dcterms:W3CDTF">2017-03-16T19:30:28Z</dcterms:modified>
</cp:coreProperties>
</file>