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epcjalisco.org.mx\docs\Transparencia\recursos 2019\RT\2. 0288-RT-2019 Informe Contestación\Cumplimiento\"/>
    </mc:Choice>
  </mc:AlternateContent>
  <bookViews>
    <workbookView xWindow="0" yWindow="0" windowWidth="25200" windowHeight="13275" tabRatio="500" firstSheet="4" activeTab="4"/>
  </bookViews>
  <sheets>
    <sheet name="Enero" sheetId="1" state="hidden" r:id="rId1"/>
    <sheet name="Febrero" sheetId="2" state="hidden" r:id="rId2"/>
    <sheet name="Marzo" sheetId="3" state="hidden" r:id="rId3"/>
    <sheet name="Abril" sheetId="4" state="hidden" r:id="rId4"/>
    <sheet name="Integrado" sheetId="5" r:id="rId5"/>
  </sheets>
  <definedNames>
    <definedName name="_ftn1" localSheetId="3">Abril!$A$4</definedName>
    <definedName name="_ftn1" localSheetId="0">Enero!$A$4</definedName>
    <definedName name="_ftn1" localSheetId="1">Febrero!$A$4</definedName>
    <definedName name="_ftn1" localSheetId="4">Integrado!#REF!</definedName>
    <definedName name="_ftn1" localSheetId="2">Marzo!$A$4</definedName>
    <definedName name="_ftn2" localSheetId="3">Abril!$A$16</definedName>
    <definedName name="_ftn2" localSheetId="0">Enero!$A$16</definedName>
    <definedName name="_ftn2" localSheetId="1">Febrero!$A$16</definedName>
    <definedName name="_ftn2" localSheetId="4">Integrado!#REF!</definedName>
    <definedName name="_ftn2" localSheetId="2">Marzo!$A$16</definedName>
    <definedName name="_ftn3" localSheetId="3">Abril!$A$24</definedName>
    <definedName name="_ftn3" localSheetId="0">Enero!$A$24</definedName>
    <definedName name="_ftn3" localSheetId="1">Febrero!$A$24</definedName>
    <definedName name="_ftn3" localSheetId="4">Integrado!#REF!</definedName>
    <definedName name="_ftn3" localSheetId="2">Marzo!$A$24</definedName>
    <definedName name="_ftn4" localSheetId="3">Abril!$A$25</definedName>
    <definedName name="_ftn4" localSheetId="0">Enero!$A$25</definedName>
    <definedName name="_ftn4" localSheetId="1">Febrero!$A$25</definedName>
    <definedName name="_ftn4" localSheetId="4">Integrado!#REF!</definedName>
    <definedName name="_ftn4" localSheetId="2">Marzo!$A$25</definedName>
    <definedName name="_ftnref1" localSheetId="3">Abril!$C$12</definedName>
    <definedName name="_ftnref1" localSheetId="0">Enero!$C$12</definedName>
    <definedName name="_ftnref1" localSheetId="1">Febrero!$C$12</definedName>
    <definedName name="_ftnref1" localSheetId="4">Integrado!#REF!</definedName>
    <definedName name="_ftnref1" localSheetId="2">Marzo!$C$12</definedName>
    <definedName name="_ftnref2" localSheetId="3">Abril!$C$5</definedName>
    <definedName name="_ftnref2" localSheetId="0">Enero!$C$5</definedName>
    <definedName name="_ftnref2" localSheetId="1">Febrero!$C$5</definedName>
    <definedName name="_ftnref2" localSheetId="4">Integrado!$C$8</definedName>
    <definedName name="_ftnref2" localSheetId="2">Marzo!$C$5</definedName>
    <definedName name="_ftnref4" localSheetId="3">Abril!$C$16</definedName>
    <definedName name="_ftnref4" localSheetId="0">Enero!$C$16</definedName>
    <definedName name="_ftnref4" localSheetId="1">Febrero!$C$16</definedName>
    <definedName name="_ftnref4" localSheetId="4">Integrado!#REF!</definedName>
    <definedName name="_ftnref4" localSheetId="2">Marzo!$C$16</definedName>
    <definedName name="_xlnm.Print_Area" localSheetId="4">Integrado!$A$1:$V$51</definedName>
    <definedName name="_xlnm.Print_Titles" localSheetId="3">Abril!$2:$3</definedName>
    <definedName name="_xlnm.Print_Titles" localSheetId="0">Enero!$2:$3</definedName>
    <definedName name="_xlnm.Print_Titles" localSheetId="1">Febrero!$2:$3</definedName>
    <definedName name="_xlnm.Print_Titles" localSheetId="4">Integrado!$2:$3</definedName>
    <definedName name="_xlnm.Print_Titles" localSheetId="2">Marzo!$2:$3</definedName>
  </definedNames>
  <calcPr calcId="152511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51" i="5" l="1"/>
  <c r="V51" i="5"/>
  <c r="V50" i="5"/>
  <c r="V49" i="5"/>
  <c r="V48" i="5"/>
  <c r="V47" i="5"/>
  <c r="K46" i="5"/>
  <c r="V46" i="5"/>
  <c r="J45" i="5"/>
  <c r="K45" i="5"/>
  <c r="L45" i="5"/>
  <c r="V45" i="5"/>
  <c r="V44" i="5"/>
  <c r="V43" i="5"/>
  <c r="V41" i="5"/>
  <c r="V40" i="5"/>
  <c r="V39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J19" i="5"/>
  <c r="V19" i="5"/>
  <c r="V18" i="5"/>
  <c r="V17" i="5"/>
  <c r="V16" i="5"/>
  <c r="V15" i="5"/>
  <c r="U13" i="5"/>
  <c r="V13" i="5"/>
  <c r="V12" i="5"/>
  <c r="V11" i="5"/>
  <c r="V10" i="5"/>
  <c r="V9" i="5"/>
  <c r="J8" i="5"/>
  <c r="K8" i="5"/>
  <c r="M8" i="5"/>
  <c r="U8" i="5"/>
  <c r="V8" i="5"/>
  <c r="V7" i="5"/>
  <c r="V6" i="5"/>
  <c r="V5" i="5"/>
  <c r="V4" i="5"/>
  <c r="Q19" i="4"/>
  <c r="N19" i="4"/>
  <c r="I18" i="4"/>
  <c r="Q18" i="4"/>
  <c r="N18" i="4"/>
  <c r="I17" i="4"/>
  <c r="Q17" i="4"/>
  <c r="N17" i="4"/>
  <c r="I16" i="4"/>
  <c r="Q16" i="4"/>
  <c r="N16" i="4"/>
  <c r="L16" i="4"/>
  <c r="K16" i="4"/>
  <c r="J16" i="4"/>
  <c r="I15" i="4"/>
  <c r="Q15" i="4"/>
  <c r="N15" i="4"/>
  <c r="L15" i="4"/>
  <c r="K15" i="4"/>
  <c r="J15" i="4"/>
  <c r="M14" i="4"/>
  <c r="I14" i="4"/>
  <c r="Q14" i="4"/>
  <c r="J14" i="4"/>
  <c r="K14" i="4"/>
  <c r="L14" i="4"/>
  <c r="N14" i="4"/>
  <c r="M13" i="4"/>
  <c r="I13" i="4"/>
  <c r="Q13" i="4"/>
  <c r="N13" i="4"/>
  <c r="L13" i="4"/>
  <c r="K13" i="4"/>
  <c r="J13" i="4"/>
  <c r="I12" i="4"/>
  <c r="Q12" i="4"/>
  <c r="N12" i="4"/>
  <c r="M11" i="4"/>
  <c r="I11" i="4"/>
  <c r="Q11" i="4"/>
  <c r="N11" i="4"/>
  <c r="L11" i="4"/>
  <c r="K11" i="4"/>
  <c r="J11" i="4"/>
  <c r="Q10" i="4"/>
  <c r="N10" i="4"/>
  <c r="Q9" i="4"/>
  <c r="N9" i="4"/>
  <c r="Q8" i="4"/>
  <c r="N8" i="4"/>
  <c r="M7" i="4"/>
  <c r="I7" i="4"/>
  <c r="Q7" i="4"/>
  <c r="J7" i="4"/>
  <c r="K7" i="4"/>
  <c r="L7" i="4"/>
  <c r="N7" i="4"/>
  <c r="M6" i="4"/>
  <c r="I6" i="4"/>
  <c r="Q6" i="4"/>
  <c r="N6" i="4"/>
  <c r="L6" i="4"/>
  <c r="K6" i="4"/>
  <c r="J6" i="4"/>
  <c r="M5" i="4"/>
  <c r="I5" i="4"/>
  <c r="Q5" i="4"/>
  <c r="N5" i="4"/>
  <c r="L5" i="4"/>
  <c r="K5" i="4"/>
  <c r="J5" i="4"/>
  <c r="M4" i="4"/>
  <c r="I4" i="4"/>
  <c r="Q4" i="4"/>
  <c r="N4" i="4"/>
  <c r="L4" i="4"/>
  <c r="K4" i="4"/>
  <c r="J4" i="4"/>
  <c r="Q19" i="3"/>
  <c r="N19" i="3"/>
  <c r="I18" i="3"/>
  <c r="Q18" i="3"/>
  <c r="N18" i="3"/>
  <c r="I17" i="3"/>
  <c r="Q17" i="3"/>
  <c r="N17" i="3"/>
  <c r="L16" i="3"/>
  <c r="I16" i="3"/>
  <c r="Q16" i="3"/>
  <c r="N16" i="3"/>
  <c r="K16" i="3"/>
  <c r="J16" i="3"/>
  <c r="L15" i="3"/>
  <c r="I15" i="3"/>
  <c r="Q15" i="3"/>
  <c r="N15" i="3"/>
  <c r="K15" i="3"/>
  <c r="J15" i="3"/>
  <c r="L14" i="3"/>
  <c r="I14" i="3"/>
  <c r="Q14" i="3"/>
  <c r="J14" i="3"/>
  <c r="K14" i="3"/>
  <c r="M14" i="3"/>
  <c r="N14" i="3"/>
  <c r="L13" i="3"/>
  <c r="I13" i="3"/>
  <c r="Q13" i="3"/>
  <c r="N13" i="3"/>
  <c r="M13" i="3"/>
  <c r="K13" i="3"/>
  <c r="J13" i="3"/>
  <c r="I12" i="3"/>
  <c r="Q12" i="3"/>
  <c r="N12" i="3"/>
  <c r="L11" i="3"/>
  <c r="I11" i="3"/>
  <c r="Q11" i="3"/>
  <c r="N11" i="3"/>
  <c r="M11" i="3"/>
  <c r="K11" i="3"/>
  <c r="J11" i="3"/>
  <c r="Q10" i="3"/>
  <c r="N10" i="3"/>
  <c r="Q9" i="3"/>
  <c r="N9" i="3"/>
  <c r="Q8" i="3"/>
  <c r="N8" i="3"/>
  <c r="L7" i="3"/>
  <c r="I7" i="3"/>
  <c r="Q7" i="3"/>
  <c r="J7" i="3"/>
  <c r="K7" i="3"/>
  <c r="N7" i="3"/>
  <c r="M7" i="3"/>
  <c r="L6" i="3"/>
  <c r="I6" i="3"/>
  <c r="Q6" i="3"/>
  <c r="N6" i="3"/>
  <c r="M6" i="3"/>
  <c r="K6" i="3"/>
  <c r="J6" i="3"/>
  <c r="L5" i="3"/>
  <c r="I5" i="3"/>
  <c r="Q5" i="3"/>
  <c r="N5" i="3"/>
  <c r="M5" i="3"/>
  <c r="K5" i="3"/>
  <c r="J5" i="3"/>
  <c r="L4" i="3"/>
  <c r="I4" i="3"/>
  <c r="Q4" i="3"/>
  <c r="N4" i="3"/>
  <c r="M4" i="3"/>
  <c r="K4" i="3"/>
  <c r="J4" i="3"/>
  <c r="Q19" i="2"/>
  <c r="N19" i="2"/>
  <c r="I18" i="2"/>
  <c r="Q18" i="2"/>
  <c r="N18" i="2"/>
  <c r="I17" i="2"/>
  <c r="Q17" i="2"/>
  <c r="N17" i="2"/>
  <c r="K16" i="2"/>
  <c r="I16" i="2"/>
  <c r="Q16" i="2"/>
  <c r="N16" i="2"/>
  <c r="L16" i="2"/>
  <c r="J16" i="2"/>
  <c r="K15" i="2"/>
  <c r="I15" i="2"/>
  <c r="Q15" i="2"/>
  <c r="N15" i="2"/>
  <c r="L15" i="2"/>
  <c r="J15" i="2"/>
  <c r="K14" i="2"/>
  <c r="I14" i="2"/>
  <c r="Q14" i="2"/>
  <c r="J14" i="2"/>
  <c r="N14" i="2"/>
  <c r="M14" i="2"/>
  <c r="L14" i="2"/>
  <c r="K13" i="2"/>
  <c r="I13" i="2"/>
  <c r="Q13" i="2"/>
  <c r="N13" i="2"/>
  <c r="M13" i="2"/>
  <c r="L13" i="2"/>
  <c r="J13" i="2"/>
  <c r="I12" i="2"/>
  <c r="Q12" i="2"/>
  <c r="N12" i="2"/>
  <c r="K11" i="2"/>
  <c r="I11" i="2"/>
  <c r="Q11" i="2"/>
  <c r="N11" i="2"/>
  <c r="M11" i="2"/>
  <c r="L11" i="2"/>
  <c r="J11" i="2"/>
  <c r="Q10" i="2"/>
  <c r="N10" i="2"/>
  <c r="Q9" i="2"/>
  <c r="N9" i="2"/>
  <c r="Q8" i="2"/>
  <c r="N8" i="2"/>
  <c r="K7" i="2"/>
  <c r="I7" i="2"/>
  <c r="Q7" i="2"/>
  <c r="J7" i="2"/>
  <c r="N7" i="2"/>
  <c r="M7" i="2"/>
  <c r="L7" i="2"/>
  <c r="K6" i="2"/>
  <c r="I6" i="2"/>
  <c r="Q6" i="2"/>
  <c r="N6" i="2"/>
  <c r="M6" i="2"/>
  <c r="L6" i="2"/>
  <c r="J6" i="2"/>
  <c r="K5" i="2"/>
  <c r="I5" i="2"/>
  <c r="Q5" i="2"/>
  <c r="N5" i="2"/>
  <c r="M5" i="2"/>
  <c r="L5" i="2"/>
  <c r="J5" i="2"/>
  <c r="K4" i="2"/>
  <c r="I4" i="2"/>
  <c r="Q4" i="2"/>
  <c r="N4" i="2"/>
  <c r="M4" i="2"/>
  <c r="L4" i="2"/>
  <c r="J4" i="2"/>
  <c r="Q19" i="1"/>
  <c r="I18" i="1"/>
  <c r="Q18" i="1"/>
  <c r="N18" i="1"/>
  <c r="I17" i="1"/>
  <c r="Q17" i="1"/>
  <c r="N17" i="1"/>
  <c r="J16" i="1"/>
  <c r="I16" i="1"/>
  <c r="Q16" i="1"/>
  <c r="N16" i="1"/>
  <c r="L16" i="1"/>
  <c r="K16" i="1"/>
  <c r="J15" i="1"/>
  <c r="I15" i="1"/>
  <c r="Q15" i="1"/>
  <c r="N15" i="1"/>
  <c r="L15" i="1"/>
  <c r="K15" i="1"/>
  <c r="J14" i="1"/>
  <c r="I14" i="1"/>
  <c r="Q14" i="1"/>
  <c r="N14" i="1"/>
  <c r="M14" i="1"/>
  <c r="L14" i="1"/>
  <c r="K14" i="1"/>
  <c r="J13" i="1"/>
  <c r="I13" i="1"/>
  <c r="Q13" i="1"/>
  <c r="N13" i="1"/>
  <c r="M13" i="1"/>
  <c r="L13" i="1"/>
  <c r="K13" i="1"/>
  <c r="I12" i="1"/>
  <c r="Q12" i="1"/>
  <c r="N12" i="1"/>
  <c r="J11" i="1"/>
  <c r="I11" i="1"/>
  <c r="Q11" i="1"/>
  <c r="N11" i="1"/>
  <c r="M11" i="1"/>
  <c r="L11" i="1"/>
  <c r="K11" i="1"/>
  <c r="Q10" i="1"/>
  <c r="N10" i="1"/>
  <c r="Q9" i="1"/>
  <c r="N9" i="1"/>
  <c r="Q8" i="1"/>
  <c r="N8" i="1"/>
  <c r="J7" i="1"/>
  <c r="I7" i="1"/>
  <c r="Q7" i="1"/>
  <c r="N7" i="1"/>
  <c r="M7" i="1"/>
  <c r="L7" i="1"/>
  <c r="K7" i="1"/>
  <c r="J6" i="1"/>
  <c r="I6" i="1"/>
  <c r="Q6" i="1"/>
  <c r="N6" i="1"/>
  <c r="M6" i="1"/>
  <c r="L6" i="1"/>
  <c r="K6" i="1"/>
  <c r="J5" i="1"/>
  <c r="I5" i="1"/>
  <c r="Q5" i="1"/>
  <c r="N5" i="1"/>
  <c r="M5" i="1"/>
  <c r="L5" i="1"/>
  <c r="K5" i="1"/>
  <c r="J4" i="1"/>
  <c r="I4" i="1"/>
  <c r="Q4" i="1"/>
  <c r="N4" i="1"/>
  <c r="M4" i="1"/>
  <c r="L4" i="1"/>
  <c r="K4" i="1"/>
</calcChain>
</file>

<file path=xl/comments1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9"/>
            <color rgb="FF000000"/>
            <rFont val="Tahoma"/>
            <family val="2"/>
            <charset val="1"/>
          </rPr>
          <t>Personal requerido 168</t>
        </r>
      </text>
    </comment>
    <comment ref="M17" authorId="0" shapeId="0">
      <text>
        <r>
          <rPr>
            <b/>
            <sz val="9"/>
            <color rgb="FF000000"/>
            <rFont val="Tahoma"/>
            <family val="2"/>
            <charset val="1"/>
          </rPr>
          <t>(33/33)*100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>46actas/46sesiones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9"/>
            <color rgb="FF000000"/>
            <rFont val="Tahoma"/>
            <family val="2"/>
            <charset val="1"/>
          </rPr>
          <t>Personal requerido 168</t>
        </r>
      </text>
    </comment>
    <comment ref="M17" authorId="0" shapeId="0">
      <text>
        <r>
          <rPr>
            <b/>
            <sz val="9"/>
            <color rgb="FF000000"/>
            <rFont val="Tahoma"/>
            <family val="2"/>
            <charset val="1"/>
          </rPr>
          <t>(33/33)*100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>46actas/46sesiones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9"/>
            <color rgb="FF000000"/>
            <rFont val="Tahoma"/>
            <family val="2"/>
            <charset val="1"/>
          </rPr>
          <t>Personal requerido 168</t>
        </r>
      </text>
    </comment>
    <comment ref="M17" authorId="0" shapeId="0">
      <text>
        <r>
          <rPr>
            <b/>
            <sz val="9"/>
            <color rgb="FF000000"/>
            <rFont val="Tahoma"/>
            <family val="2"/>
            <charset val="1"/>
          </rPr>
          <t>(33/33)*100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>46actas/46sesiones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6" authorId="0" shapeId="0">
      <text>
        <r>
          <rPr>
            <sz val="9"/>
            <color rgb="FF000000"/>
            <rFont val="Tahoma"/>
            <family val="2"/>
            <charset val="1"/>
          </rPr>
          <t>Personal requerido 168</t>
        </r>
      </text>
    </comment>
    <comment ref="M17" authorId="0" shapeId="0">
      <text>
        <r>
          <rPr>
            <b/>
            <sz val="9"/>
            <color rgb="FF000000"/>
            <rFont val="Tahoma"/>
            <family val="2"/>
            <charset val="1"/>
          </rPr>
          <t>(33/33)*100</t>
        </r>
      </text>
    </comment>
    <comment ref="M18" authorId="0" shapeId="0">
      <text>
        <r>
          <rPr>
            <b/>
            <sz val="9"/>
            <color rgb="FF000000"/>
            <rFont val="Tahoma"/>
            <family val="2"/>
            <charset val="1"/>
          </rPr>
          <t>46actas/46sesiones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C21" authorId="0" shapeId="0">
      <text>
        <r>
          <rPr>
            <b/>
            <sz val="9"/>
            <color rgb="FF000000"/>
            <rFont val="Arial Narrow"/>
            <family val="2"/>
            <charset val="1"/>
          </rPr>
          <t xml:space="preserve">
Establezca la fórmula para calcular el indicador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Ejemplo: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Indicador:
</t>
        </r>
        <r>
          <rPr>
            <sz val="9"/>
            <color rgb="FF000000"/>
            <rFont val="Arial Narrow"/>
            <family val="2"/>
            <charset val="1"/>
          </rPr>
          <t xml:space="preserve">Porcentaje de los ciudadanos inscritos en el padrón electoral que asistieron a emitir su voto en la jornada electoral del 1° de julio respecto al total de ciudadanos inscritos en el padrón electoral.
</t>
        </r>
        <r>
          <rPr>
            <b/>
            <sz val="9"/>
            <color rgb="FF000000"/>
            <rFont val="Arial Narrow"/>
            <family val="2"/>
            <charset val="1"/>
          </rPr>
          <t xml:space="preserve">Formula:
</t>
        </r>
        <r>
          <rPr>
            <sz val="9"/>
            <color rgb="FF000000"/>
            <rFont val="Arial Narrow"/>
            <family val="2"/>
            <charset val="1"/>
          </rPr>
          <t xml:space="preserve">(Ciudadanos inscritos en el padrón electoral del estado de Jalisco que participaron en el proceso electoral del 1° de Julio/Total de ciudadanos inscritos en el padrón electoral del estado de Jalisco)*100
</t>
        </r>
      </text>
    </comment>
    <comment ref="C35" authorId="0" shapeId="0">
      <text>
        <r>
          <rPr>
            <b/>
            <sz val="9"/>
            <color rgb="FF000000"/>
            <rFont val="Arial Narrow"/>
            <family val="2"/>
            <charset val="1"/>
          </rPr>
          <t xml:space="preserve">
Establezca la fórmula para calcular el indicador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Ejemplo:
</t>
        </r>
        <r>
          <rPr>
            <sz val="9"/>
            <color rgb="FF000000"/>
            <rFont val="Arial Narrow"/>
            <family val="2"/>
            <charset val="1"/>
          </rPr>
          <t xml:space="preserve">
</t>
        </r>
        <r>
          <rPr>
            <b/>
            <sz val="9"/>
            <color rgb="FF000000"/>
            <rFont val="Arial Narrow"/>
            <family val="2"/>
            <charset val="1"/>
          </rPr>
          <t xml:space="preserve">Indicador:
</t>
        </r>
        <r>
          <rPr>
            <sz val="9"/>
            <color rgb="FF000000"/>
            <rFont val="Arial Narrow"/>
            <family val="2"/>
            <charset val="1"/>
          </rPr>
          <t xml:space="preserve">Porcentaje de los ciudadanos inscritos en el padrón electoral que asistieron a emitir su voto en la jornada electoral del 1° de julio respecto al total de ciudadanos inscritos en el padrón electoral.
</t>
        </r>
        <r>
          <rPr>
            <b/>
            <sz val="9"/>
            <color rgb="FF000000"/>
            <rFont val="Arial Narrow"/>
            <family val="2"/>
            <charset val="1"/>
          </rPr>
          <t xml:space="preserve">Formula:
</t>
        </r>
        <r>
          <rPr>
            <sz val="9"/>
            <color rgb="FF000000"/>
            <rFont val="Arial Narrow"/>
            <family val="2"/>
            <charset val="1"/>
          </rPr>
          <t xml:space="preserve">(Ciudadanos inscritos en el padrón electoral del estado de Jalisco que participaron en el proceso electoral del 1° de Julio/Total de ciudadanos inscritos en el padrón electoral del estado de Jalisco)*100
</t>
        </r>
      </text>
    </comment>
  </commentList>
</comments>
</file>

<file path=xl/sharedStrings.xml><?xml version="1.0" encoding="utf-8"?>
<sst xmlns="http://schemas.openxmlformats.org/spreadsheetml/2006/main" count="749" uniqueCount="156">
  <si>
    <t>Indicadores de resultados enero de 2017</t>
  </si>
  <si>
    <t>Denominación</t>
  </si>
  <si>
    <t>Tipo de indicador</t>
  </si>
  <si>
    <t>Dimensión a medir</t>
  </si>
  <si>
    <t>Unidad de Medida</t>
  </si>
  <si>
    <t>Valor de la meta</t>
  </si>
  <si>
    <t>Cumplimiento de la meta (presupuestal)</t>
  </si>
  <si>
    <t>Avance de procesos</t>
  </si>
  <si>
    <t>Unidad Responsable</t>
  </si>
  <si>
    <t>Nombre del Indicador</t>
  </si>
  <si>
    <t>Fórmula del Indicador</t>
  </si>
  <si>
    <t>Eficacia</t>
  </si>
  <si>
    <t>Eficiencia</t>
  </si>
  <si>
    <t>Economía</t>
  </si>
  <si>
    <t>Meta programada anual Absoluto (A)</t>
  </si>
  <si>
    <t>Relativo del mes (B) enero</t>
  </si>
  <si>
    <t>Relativo del mes (B) febrero</t>
  </si>
  <si>
    <t>Relativo del mes (B) marzo</t>
  </si>
  <si>
    <t>Relativo del mes (B) abril</t>
  </si>
  <si>
    <r>
      <rPr>
        <b/>
        <sz val="8"/>
        <color rgb="FF7030A0"/>
        <rFont val="Arial Narrow"/>
        <family val="2"/>
        <charset val="1"/>
      </rPr>
      <t>Acumulado                           (∑B</t>
    </r>
    <r>
      <rPr>
        <b/>
        <vertAlign val="superscript"/>
        <sz val="8"/>
        <color rgb="FF7030A0"/>
        <rFont val="Arial Narrow"/>
        <family val="2"/>
        <charset val="1"/>
      </rPr>
      <t>…n</t>
    </r>
    <r>
      <rPr>
        <b/>
        <sz val="8"/>
        <color rgb="FF7030A0"/>
        <rFont val="Arial Narrow"/>
        <family val="2"/>
        <charset val="1"/>
      </rPr>
      <t>)</t>
    </r>
  </si>
  <si>
    <t>Programado (C)</t>
  </si>
  <si>
    <t>Realizado  (D) (Acumulado)</t>
  </si>
  <si>
    <r>
      <rPr>
        <b/>
        <sz val="8"/>
        <color rgb="FF7030A0"/>
        <rFont val="Arial Narrow"/>
        <family val="2"/>
        <charset val="1"/>
      </rPr>
      <t xml:space="preserve">Valor de la Meta                        </t>
    </r>
    <r>
      <rPr>
        <b/>
        <sz val="8"/>
        <color rgb="FF604A7B"/>
        <rFont val="Arial Narrow"/>
        <family val="2"/>
        <charset val="1"/>
      </rPr>
      <t>=(B/A)</t>
    </r>
  </si>
  <si>
    <t>Cumplimiento de la Meta                                             (D/C)</t>
  </si>
  <si>
    <t>DOE</t>
  </si>
  <si>
    <t>Sedes distritales funcionales</t>
  </si>
  <si>
    <t>Estratégico</t>
  </si>
  <si>
    <t>X</t>
  </si>
  <si>
    <t>Porcentaje</t>
  </si>
  <si>
    <t xml:space="preserve">Rehabilitación de Material Electoral </t>
  </si>
  <si>
    <t>Gestión</t>
  </si>
  <si>
    <t>DEC</t>
  </si>
  <si>
    <t>Personal capacitado</t>
  </si>
  <si>
    <t>DEC/UG</t>
  </si>
  <si>
    <t>Eventos de educación cívica y  promoción cultural</t>
  </si>
  <si>
    <t xml:space="preserve">Número de eventos de educación cívica y de promoción de la cultura de la inclusión y la paridad de genero </t>
  </si>
  <si>
    <t>Eventos</t>
  </si>
  <si>
    <t>DPC</t>
  </si>
  <si>
    <t>OSC’s capacitadas en mecanismos de PS</t>
  </si>
  <si>
    <t>Número de OSC’s capacitadas en cualquiera de los mecanismos de PS</t>
  </si>
  <si>
    <t>OSC’s capacitadas</t>
  </si>
  <si>
    <t>Asesorías brindadas a interesados en MPS</t>
  </si>
  <si>
    <t>Asesorías en cualquiera de los mecanismos de PS</t>
  </si>
  <si>
    <t>Asesorías</t>
  </si>
  <si>
    <t>UCS</t>
  </si>
  <si>
    <t>Penetración de la comunicación</t>
  </si>
  <si>
    <t>Alcance de publicaciones en Facebook</t>
  </si>
  <si>
    <t>Personas alcanzadas</t>
  </si>
  <si>
    <t>UI</t>
  </si>
  <si>
    <t>Ejercicios con urna electrónica</t>
  </si>
  <si>
    <t>Equipos funcionando</t>
  </si>
  <si>
    <t>DJ</t>
  </si>
  <si>
    <t>Seguimiento y asesoría jurídica</t>
  </si>
  <si>
    <t>SE</t>
  </si>
  <si>
    <t>PSA ordinario</t>
  </si>
  <si>
    <t>Aprobación en Pleno</t>
  </si>
  <si>
    <t>Integración de actas del Pleno</t>
  </si>
  <si>
    <t>STC</t>
  </si>
  <si>
    <t>Aprobación en Comisiones</t>
  </si>
  <si>
    <t>Integración de actas de Comisiones</t>
  </si>
  <si>
    <t>DA</t>
  </si>
  <si>
    <t>Registro y control del presupuesto</t>
  </si>
  <si>
    <t>Cierre presupuestal y contable mensual</t>
  </si>
  <si>
    <t>Cierre presupuestal</t>
  </si>
  <si>
    <t>Indicadores de resultados febrero de 2017</t>
  </si>
  <si>
    <t>Indicadores de resultados enero-abril de 2017</t>
  </si>
  <si>
    <t>AVANCE DE INDICADORES DE 2019</t>
  </si>
  <si>
    <t>Relativo del mes (B) mayo</t>
  </si>
  <si>
    <t>Relativo del mes (B) junio</t>
  </si>
  <si>
    <t>Relativo del mes (B) julio</t>
  </si>
  <si>
    <t>Relativo del mes (B) agosto</t>
  </si>
  <si>
    <t>Relativo del mes (B) septiembre</t>
  </si>
  <si>
    <t>Relativo del mes (B) octubre</t>
  </si>
  <si>
    <t>Relativo del mes (B) noviembre</t>
  </si>
  <si>
    <t>Relativo del mes (B) diciembre</t>
  </si>
  <si>
    <r>
      <rPr>
        <sz val="8"/>
        <color rgb="FF7030A0"/>
        <rFont val="Arial"/>
        <family val="2"/>
        <charset val="1"/>
      </rPr>
      <t>Acumulado                           (∑B</t>
    </r>
    <r>
      <rPr>
        <vertAlign val="superscript"/>
        <sz val="8"/>
        <color rgb="FF7030A0"/>
        <rFont val="Arial Narrow"/>
        <family val="2"/>
        <charset val="1"/>
      </rPr>
      <t>…n</t>
    </r>
    <r>
      <rPr>
        <sz val="8"/>
        <color rgb="FF7030A0"/>
        <rFont val="Arial Narrow"/>
        <family val="2"/>
        <charset val="1"/>
      </rPr>
      <t>)</t>
    </r>
  </si>
  <si>
    <t>PAPIROLAS 2019</t>
  </si>
  <si>
    <t>((Participantes en el taller  del IEPC en Papirolas 2019))/((Participantes en el taller  del IEPC en Papirlas 2018)) (100)</t>
  </si>
  <si>
    <t>x</t>
  </si>
  <si>
    <t>Feria Internacional del Libro 2019</t>
  </si>
  <si>
    <t>((Participantes en el stand del IEPC en FIL 2019))/((Participantes en el stand del IEPC en FIL 2018)) (100)</t>
  </si>
  <si>
    <t>Difusión de la cultura política a través del arte</t>
  </si>
  <si>
    <t>"(Participantes en las actividades de cultura y arte del IEPC 2019)" /("(Participantes en las actividades de cultura y arte del IEPC 201" 8)) (100)</t>
  </si>
  <si>
    <t xml:space="preserve">Futuros ciudadanos </t>
  </si>
  <si>
    <t>(Participantes en los ejercicios de prácticas democráticas 2019)" /("(Participantes en los ejercicios de prácticas democráticas 201" 8)) (100)</t>
  </si>
  <si>
    <t xml:space="preserve">Cultura Política Democrática </t>
  </si>
  <si>
    <t>("(Herramientas informativas y/o materiales de divulgación sobre cultura política democrática, educación cívica y electoral 2019 " ))/("(Herramientas informativas y/o materiales de divulgación sobre cultura política democrática, educación cívica y electoral en año no electoral" )) (100)</t>
  </si>
  <si>
    <t>4’600,000</t>
  </si>
  <si>
    <t xml:space="preserve">Gestión de los mecanismos de participación </t>
  </si>
  <si>
    <t>Entregable  1=60% E2=20% E3=20% (100)</t>
  </si>
  <si>
    <t>Proceso</t>
  </si>
  <si>
    <t>Vinculación estrategica para la participación.</t>
  </si>
  <si>
    <t xml:space="preserve">E1=80% E2= 15% E3=5%=(100)
</t>
  </si>
  <si>
    <t xml:space="preserve">Formación en ciudadania activa </t>
  </si>
  <si>
    <t xml:space="preserve">E1=65% E2=15% E3=20% =(100)
</t>
  </si>
  <si>
    <t>Vinculación con jaliscienses en el exterior.</t>
  </si>
  <si>
    <t xml:space="preserve">E1=50% E2=30% E3=20%=(100)
</t>
  </si>
  <si>
    <t>Documento con diagnóstico de actas de jornada electoral y escrutinio y computo (muestreo).*</t>
  </si>
  <si>
    <t>(Actas muestras)/TAUC (100)</t>
  </si>
  <si>
    <t>Encuesta sobre la percepción del llenado de actas de la jornada electoral y acta de escrutinio y cómputo.**</t>
  </si>
  <si>
    <t>Documento de diagnóstico sobre modelos de documentación de organismos electorales  internacionales***</t>
  </si>
  <si>
    <t>Destrucción de documentación electoral no útil y revisión de la caja paquete</t>
  </si>
  <si>
    <t>Entrevista sobre la percepción del proceso electoral 2017-2018</t>
  </si>
  <si>
    <t xml:space="preserve">Aspectos negativos - aspectos positivos = área de oportunidad
</t>
  </si>
  <si>
    <t>Revisión, evaluación, registro de existencias y aplicación de criterios de conservación del material electoral</t>
  </si>
  <si>
    <t>[(Paquetes clasificados)/(paquetes recuperados)]*100</t>
  </si>
  <si>
    <t>Logística</t>
  </si>
  <si>
    <t>(Número de asambleas de asoc pol, no. De foros, no. De eventos/Total de asambleas de asoc pol, no. De foros. No. De eventos)*100</t>
  </si>
  <si>
    <t>Numero de personas atendidas</t>
  </si>
  <si>
    <t>UIGND</t>
  </si>
  <si>
    <t xml:space="preserve">Diseño curricular diplomado liderazgo político de las mujeres </t>
  </si>
  <si>
    <t>N/A</t>
  </si>
  <si>
    <t xml:space="preserve">Estudio sobre buenas prácticas del ejercicio del 3% para el fotalecimiento del liderazgo político de las mujeres </t>
  </si>
  <si>
    <t xml:space="preserve">Agenda de derechos político - electorales de las mujeres, consensuada </t>
  </si>
  <si>
    <t xml:space="preserve">Informe de materiales producidos y tareas asignadas (difusión accesible ) </t>
  </si>
  <si>
    <t>Informe de actividades (Transversalización de la PEG y no discriminación)</t>
  </si>
  <si>
    <t>Mantenimiento de la infraestructura de las tecnologías de la información</t>
  </si>
  <si>
    <t>(Requerimiento solicitado)/(Requerimiento cumplido) (100)</t>
  </si>
  <si>
    <t>Soporte técnico en materia de Tecnologías de la Información</t>
  </si>
  <si>
    <t>(Servicios atendidos)/(Servicios solicitados) (100)</t>
  </si>
  <si>
    <t>Desarrollo de aplicaciones</t>
  </si>
  <si>
    <t>(Aplicaciones implementadas)/(Aplicaciones solictadas) (100)</t>
  </si>
  <si>
    <t>Rediseño de la página web institucional</t>
  </si>
  <si>
    <t>(Tecnologías de navegacion compatibles)/(Tecnologías de navegacion existentes) (100)</t>
  </si>
  <si>
    <t>Unidad de Fiscalización</t>
  </si>
  <si>
    <t>Recepción y revisión integral de los informes anuales 2018 de las Agrupaciones Políticas respecto del origen y destino de los ingresos que reciban por cualquier modalidad de financiamiento.</t>
  </si>
  <si>
    <t>Informes Financieros presentados / Total de Agrupaciones Políticas Estatales</t>
  </si>
  <si>
    <t>Orientación, asesoría y capacitación a las agrupaciones políticas, y otras actividades</t>
  </si>
  <si>
    <t>(Número de orientaciones brindadas / Total de solicitudes recibidas) *100</t>
  </si>
  <si>
    <t>Actividades internas y de fortaleza interinstitucional</t>
  </si>
  <si>
    <t>(Agrupaciones que se apegaran al nuevo programa / Total de Agrupaciones Políticas Estatales)*100</t>
  </si>
  <si>
    <t>Enlace entre la Unidad Técnica de Fiscalización del INE y los Comités Directivos Estatales de los Partidos Políticos en Jalisco</t>
  </si>
  <si>
    <t>(Número de requerimientos atendidos / Total de requerimientos recibidos) *100</t>
  </si>
  <si>
    <t>Recepción y revisión integral de los informes mensuales 2019 de las Agrupaciones Políticas Estatales y de las Organizaciones de Ciudadanos respecto del origen y destino de los ingresos que reciban.</t>
  </si>
  <si>
    <t>Informes Financieros Mensuales del ejercicio 2019 presentados / Total Agrupaciones Politicas Estatales y Organizaciones de Ciudadanos que pretenden constituirse como partido políttico local</t>
  </si>
  <si>
    <t>Procedimientos sancionadores y jurisdiccionales</t>
  </si>
  <si>
    <t>Sesiones del Consejo General</t>
  </si>
  <si>
    <t>UTP</t>
  </si>
  <si>
    <t xml:space="preserve">Financiamiento </t>
  </si>
  <si>
    <t>Tiempos en radio y televisión</t>
  </si>
  <si>
    <t>Coadyuvar con el registro para constituirse como partidos políticos locales</t>
  </si>
  <si>
    <t xml:space="preserve">Capacitación a partidos políticos y agrupaciones políticas </t>
  </si>
  <si>
    <t>Cancelado mediante acuerdo del Consejo General número IEPC-ACG-017/2019, de fecha 27 de Junio de 2109</t>
  </si>
  <si>
    <t>Actas elaboradas</t>
  </si>
  <si>
    <t>Acuerdos</t>
  </si>
  <si>
    <t>Dictamenes</t>
  </si>
  <si>
    <t>Registro</t>
  </si>
  <si>
    <t>Agenda</t>
  </si>
  <si>
    <t>CONTRA</t>
  </si>
  <si>
    <t xml:space="preserve"> "Declaraciones patrimoniales de conflictos de interés y fiscal"</t>
  </si>
  <si>
    <t>(servidores públicos obligados que presentaron su declaración patrimonial/total de servidores públicos obligados)*100</t>
  </si>
  <si>
    <t>100%</t>
  </si>
  <si>
    <t>0%</t>
  </si>
  <si>
    <t>"Quejas, denuncias y procedimientos administrativos"</t>
  </si>
  <si>
    <t>"Fiscalización, ingresos y egresos"</t>
  </si>
  <si>
    <t>“Capacitación y actualización del personal de contraloría”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</si>
</sst>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4"/>
      <color rgb="FF000000"/>
      <name val="Calibri"/>
      <family val="2"/>
      <charset val="1"/>
    </font>
    <font>
      <b/>
      <sz val="8"/>
      <color rgb="FF7030A0"/>
      <name val="Arial Narrow"/>
      <family val="2"/>
      <charset val="1"/>
    </font>
    <font>
      <b/>
      <sz val="7"/>
      <color rgb="FF7030A0"/>
      <name val="Arial Narrow"/>
      <family val="2"/>
      <charset val="1"/>
    </font>
    <font>
      <b/>
      <vertAlign val="superscript"/>
      <sz val="8"/>
      <color rgb="FF7030A0"/>
      <name val="Arial Narrow"/>
      <family val="2"/>
      <charset val="1"/>
    </font>
    <font>
      <b/>
      <sz val="8"/>
      <color rgb="FF604A7B"/>
      <name val="Arial Narrow"/>
      <family val="2"/>
      <charset val="1"/>
    </font>
    <font>
      <sz val="8"/>
      <color rgb="FF000000"/>
      <name val="Arial Narrow"/>
      <family val="2"/>
      <charset val="1"/>
    </font>
    <font>
      <u/>
      <sz val="11"/>
      <color rgb="FF0000FF"/>
      <name val="Calibri"/>
      <family val="2"/>
      <charset val="1"/>
    </font>
    <font>
      <b/>
      <sz val="8"/>
      <color rgb="FF000000"/>
      <name val="Arial Narrow"/>
      <family val="2"/>
      <charset val="1"/>
    </font>
    <font>
      <sz val="8"/>
      <color rgb="FF333333"/>
      <name val="Arial Narrow"/>
      <family val="2"/>
      <charset val="1"/>
    </font>
    <font>
      <sz val="8"/>
      <color rgb="FF1F497D"/>
      <name val="Arial Narrow"/>
      <family val="2"/>
      <charset val="1"/>
    </font>
    <font>
      <sz val="8"/>
      <name val="Arial Narrow"/>
      <family val="2"/>
      <charset val="1"/>
    </font>
    <font>
      <sz val="8"/>
      <color rgb="FFFF0000"/>
      <name val="Arial Narrow"/>
      <family val="2"/>
      <charset val="1"/>
    </font>
    <font>
      <sz val="9"/>
      <color rgb="FF000000"/>
      <name val="Tahoma"/>
      <family val="2"/>
      <charset val="1"/>
    </font>
    <font>
      <b/>
      <sz val="9"/>
      <color rgb="FF000000"/>
      <name val="Tahoma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8"/>
      <color rgb="FF7030A0"/>
      <name val="Arial"/>
      <family val="2"/>
      <charset val="1"/>
    </font>
    <font>
      <b/>
      <sz val="8"/>
      <color rgb="FF7030A0"/>
      <name val="Arial"/>
      <family val="2"/>
      <charset val="1"/>
    </font>
    <font>
      <vertAlign val="superscript"/>
      <sz val="8"/>
      <color rgb="FF7030A0"/>
      <name val="Arial Narrow"/>
      <family val="2"/>
      <charset val="1"/>
    </font>
    <font>
      <sz val="8"/>
      <color rgb="FF7030A0"/>
      <name val="Arial Narrow"/>
      <family val="2"/>
      <charset val="1"/>
    </font>
    <font>
      <sz val="8"/>
      <name val="Arial"/>
      <family val="2"/>
      <charset val="1"/>
    </font>
    <font>
      <sz val="8"/>
      <color rgb="FF222222"/>
      <name val="Arial"/>
      <family val="2"/>
      <charset val="1"/>
    </font>
    <font>
      <sz val="7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name val="Arial"/>
      <family val="2"/>
      <charset val="1"/>
    </font>
    <font>
      <b/>
      <sz val="7"/>
      <color rgb="FF000000"/>
      <name val="Arial"/>
      <family val="2"/>
      <charset val="1"/>
    </font>
    <font>
      <u/>
      <sz val="7"/>
      <color rgb="FF808080"/>
      <name val="Arial"/>
      <family val="2"/>
      <charset val="1"/>
    </font>
    <font>
      <u/>
      <sz val="8"/>
      <name val="Arial"/>
      <family val="2"/>
      <charset val="1"/>
    </font>
    <font>
      <u/>
      <sz val="11"/>
      <color rgb="FF808080"/>
      <name val="Arial"/>
      <family val="2"/>
      <charset val="1"/>
    </font>
    <font>
      <u/>
      <sz val="11"/>
      <name val="Arial"/>
      <family val="2"/>
      <charset val="1"/>
    </font>
    <font>
      <b/>
      <sz val="9"/>
      <color rgb="FF000000"/>
      <name val="Arial Narrow"/>
      <family val="2"/>
      <charset val="1"/>
    </font>
    <font>
      <sz val="9"/>
      <color rgb="FF000000"/>
      <name val="Arial Narrow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0D9"/>
        <bgColor rgb="FFCCCCFF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35" fillId="0" borderId="0" applyBorder="0" applyProtection="0"/>
    <xf numFmtId="0" fontId="8" fillId="0" borderId="0" applyBorder="0" applyProtection="0"/>
    <xf numFmtId="0" fontId="1" fillId="0" borderId="0"/>
    <xf numFmtId="9" fontId="35" fillId="0" borderId="0" applyBorder="0" applyProtection="0"/>
  </cellStyleXfs>
  <cellXfs count="8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2" applyBorder="1" applyAlignment="1" applyProtection="1">
      <alignment horizontal="center" vertical="center" wrapText="1"/>
    </xf>
    <xf numFmtId="9" fontId="7" fillId="0" borderId="1" xfId="1" applyFont="1" applyBorder="1" applyAlignment="1" applyProtection="1">
      <alignment horizontal="center" vertical="center" wrapText="1"/>
    </xf>
    <xf numFmtId="9" fontId="9" fillId="0" borderId="1" xfId="1" applyFont="1" applyBorder="1" applyAlignment="1" applyProtection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 applyProtection="1">
      <alignment horizontal="center" vertical="center" wrapText="1"/>
    </xf>
    <xf numFmtId="10" fontId="7" fillId="0" borderId="1" xfId="1" applyNumberFormat="1" applyFont="1" applyBorder="1" applyAlignment="1" applyProtection="1">
      <alignment horizontal="center" vertical="center" wrapText="1"/>
    </xf>
    <xf numFmtId="10" fontId="9" fillId="0" borderId="1" xfId="1" applyNumberFormat="1" applyFont="1" applyBorder="1" applyAlignment="1" applyProtection="1">
      <alignment horizontal="center" vertical="center" wrapText="1"/>
    </xf>
    <xf numFmtId="9" fontId="12" fillId="0" borderId="1" xfId="1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9" fontId="0" fillId="0" borderId="0" xfId="0" applyNumberForma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9" fontId="17" fillId="0" borderId="1" xfId="1" applyFont="1" applyBorder="1" applyAlignment="1" applyProtection="1">
      <alignment horizontal="center" vertical="center" wrapText="1"/>
    </xf>
    <xf numFmtId="9" fontId="7" fillId="0" borderId="1" xfId="1" applyFont="1" applyBorder="1" applyAlignment="1" applyProtection="1">
      <alignment horizontal="center" vertical="center" wrapText="1"/>
    </xf>
    <xf numFmtId="9" fontId="16" fillId="0" borderId="1" xfId="1" applyFont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3" fontId="24" fillId="0" borderId="4" xfId="0" applyNumberFormat="1" applyFont="1" applyBorder="1" applyAlignment="1">
      <alignment horizontal="center" vertical="center" wrapText="1"/>
    </xf>
    <xf numFmtId="3" fontId="17" fillId="0" borderId="4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0" fontId="7" fillId="0" borderId="1" xfId="1" applyNumberFormat="1" applyFont="1" applyBorder="1" applyAlignment="1" applyProtection="1">
      <alignment horizontal="center" vertical="center" wrapText="1"/>
    </xf>
    <xf numFmtId="9" fontId="25" fillId="0" borderId="1" xfId="1" applyFont="1" applyBorder="1" applyAlignment="1" applyProtection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9" fontId="23" fillId="0" borderId="1" xfId="1" applyFont="1" applyBorder="1" applyAlignment="1" applyProtection="1">
      <alignment horizontal="center" vertical="center" wrapText="1"/>
    </xf>
    <xf numFmtId="9" fontId="26" fillId="0" borderId="1" xfId="1" applyFont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0" fontId="29" fillId="0" borderId="1" xfId="2" applyFont="1" applyBorder="1" applyAlignment="1" applyProtection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0" fillId="0" borderId="1" xfId="2" applyFont="1" applyBorder="1" applyAlignment="1" applyProtection="1">
      <alignment horizontal="center" vertical="center" wrapText="1"/>
    </xf>
    <xf numFmtId="10" fontId="25" fillId="0" borderId="1" xfId="1" applyNumberFormat="1" applyFont="1" applyBorder="1" applyAlignment="1" applyProtection="1">
      <alignment horizontal="center" vertical="center" wrapText="1"/>
    </xf>
    <xf numFmtId="10" fontId="16" fillId="0" borderId="1" xfId="1" applyNumberFormat="1" applyFont="1" applyBorder="1" applyAlignment="1" applyProtection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 applyProtection="1">
      <alignment horizontal="center" vertical="center" wrapText="1"/>
    </xf>
    <xf numFmtId="1" fontId="7" fillId="0" borderId="1" xfId="1" applyNumberFormat="1" applyFont="1" applyBorder="1" applyAlignment="1" applyProtection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9" fontId="12" fillId="0" borderId="1" xfId="1" applyFont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31" fillId="0" borderId="1" xfId="2" applyFont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10" fontId="17" fillId="0" borderId="1" xfId="1" applyNumberFormat="1" applyFont="1" applyBorder="1" applyAlignment="1" applyProtection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32" fillId="0" borderId="1" xfId="2" applyFont="1" applyBorder="1" applyAlignment="1" applyProtection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0" fontId="17" fillId="0" borderId="6" xfId="0" applyNumberFormat="1" applyFont="1" applyBorder="1" applyAlignment="1">
      <alignment horizontal="left" vertical="center" wrapText="1"/>
    </xf>
    <xf numFmtId="10" fontId="17" fillId="0" borderId="1" xfId="0" applyNumberFormat="1" applyFont="1" applyBorder="1" applyAlignment="1">
      <alignment horizontal="left" vertical="center" wrapText="1"/>
    </xf>
    <xf numFmtId="10" fontId="17" fillId="0" borderId="6" xfId="1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 2" xfId="3"/>
    <cellStyle name="Porcentaje" xfId="1" builtinId="5"/>
    <cellStyle name="Porcentaje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0D9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04A7B"/>
      <rgbColor rgb="FF969696"/>
      <rgbColor rgb="FF003366"/>
      <rgbColor rgb="FF339966"/>
      <rgbColor rgb="FF003300"/>
      <rgbColor rgb="FF222222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1150200</xdr:colOff>
      <xdr:row>9</xdr:row>
      <xdr:rowOff>300240</xdr:rowOff>
    </xdr:from>
    <xdr:to>
      <xdr:col>2</xdr:col>
      <xdr:colOff>1827360</xdr:colOff>
      <xdr:row>10</xdr:row>
      <xdr:rowOff>305280</xdr:rowOff>
    </xdr:to>
    <xdr:sp macro="" textlink="">
      <xdr:nvSpPr>
        <xdr:cNvPr id="2" name="CustomShape 1"/>
        <xdr:cNvSpPr/>
      </xdr:nvSpPr>
      <xdr:spPr>
        <a:xfrm>
          <a:off x="1754640" y="4405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(𝐸𝑗𝑒𝑟𝑐𝑖𝑐𝑖𝑜𝑠 𝑎𝑡𝑒𝑛𝑑𝑖𝑑𝑜𝑠)/(𝐸𝑗𝑒𝑟𝑐𝑖𝑐𝑖𝑜𝑠 𝑠𝑜𝑙𝑖𝑐𝑖𝑡𝑎𝑑𝑜𝑠)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0</xdr:colOff>
      <xdr:row>10</xdr:row>
      <xdr:rowOff>300240</xdr:rowOff>
    </xdr:from>
    <xdr:to>
      <xdr:col>2</xdr:col>
      <xdr:colOff>1896840</xdr:colOff>
      <xdr:row>11</xdr:row>
      <xdr:rowOff>305640</xdr:rowOff>
    </xdr:to>
    <xdr:sp macro="" textlink="">
      <xdr:nvSpPr>
        <xdr:cNvPr id="3" name="CustomShape 1"/>
        <xdr:cNvSpPr/>
      </xdr:nvSpPr>
      <xdr:spPr>
        <a:xfrm>
          <a:off x="1824120" y="4729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(𝐸𝑞𝑢𝑖𝑝𝑜𝑠 𝑓𝑢𝑛𝑐𝑖𝑜𝑛𝑎𝑛𝑑𝑜)/(𝐸𝑞𝑢𝑖𝑝𝑜𝑠 𝑎𝑢𝑡𝑜𝑟𝑖𝑧𝑎𝑑𝑜𝑠)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1080</xdr:colOff>
      <xdr:row>4</xdr:row>
      <xdr:rowOff>303120</xdr:rowOff>
    </xdr:from>
    <xdr:to>
      <xdr:col>2</xdr:col>
      <xdr:colOff>1897920</xdr:colOff>
      <xdr:row>6</xdr:row>
      <xdr:rowOff>3240</xdr:rowOff>
    </xdr:to>
    <xdr:sp macro="" textlink="">
      <xdr:nvSpPr>
        <xdr:cNvPr id="4" name="CustomShape 1"/>
        <xdr:cNvSpPr/>
      </xdr:nvSpPr>
      <xdr:spPr>
        <a:xfrm>
          <a:off x="1825200" y="2646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(𝑃𝑒𝑟𝑠𝑜𝑛𝑎𝑙 𝑐𝑎𝑝𝑎𝑐𝑖𝑡𝑎𝑑𝑜)/(𝑃𝑒𝑟𝑠𝑜𝑛𝑎𝑙 𝑟𝑒𝑞𝑢𝑒𝑟𝑖𝑑𝑜)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57960</xdr:colOff>
      <xdr:row>0</xdr:row>
      <xdr:rowOff>0</xdr:rowOff>
    </xdr:from>
    <xdr:to>
      <xdr:col>1</xdr:col>
      <xdr:colOff>1219320</xdr:colOff>
      <xdr:row>0</xdr:row>
      <xdr:rowOff>937440</xdr:rowOff>
    </xdr:to>
    <xdr:pic>
      <xdr:nvPicPr>
        <xdr:cNvPr id="5" name="4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60" y="0"/>
          <a:ext cx="1765800" cy="937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5760</xdr:colOff>
      <xdr:row>2</xdr:row>
      <xdr:rowOff>779400</xdr:rowOff>
    </xdr:from>
    <xdr:to>
      <xdr:col>2</xdr:col>
      <xdr:colOff>1902600</xdr:colOff>
      <xdr:row>3</xdr:row>
      <xdr:rowOff>298800</xdr:rowOff>
    </xdr:to>
    <xdr:sp macro="" textlink="">
      <xdr:nvSpPr>
        <xdr:cNvPr id="6" name="CustomShape 1"/>
        <xdr:cNvSpPr/>
      </xdr:nvSpPr>
      <xdr:spPr>
        <a:xfrm>
          <a:off x="1829880" y="200808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(𝑆𝑒𝑑𝑒𝑠 𝑓𝑢𝑛𝑐𝑖𝑜𝑛𝑎𝑙𝑒𝑠)/(𝑆𝑒𝑑𝑒𝑠 𝑟𝑒𝑞𝑢𝑒𝑟𝑖𝑑𝑎𝑠)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57960</xdr:colOff>
      <xdr:row>4</xdr:row>
      <xdr:rowOff>27000</xdr:rowOff>
    </xdr:from>
    <xdr:to>
      <xdr:col>2</xdr:col>
      <xdr:colOff>1954800</xdr:colOff>
      <xdr:row>5</xdr:row>
      <xdr:rowOff>32040</xdr:rowOff>
    </xdr:to>
    <xdr:sp macro="" textlink="">
      <xdr:nvSpPr>
        <xdr:cNvPr id="7" name="CustomShape 1"/>
        <xdr:cNvSpPr/>
      </xdr:nvSpPr>
      <xdr:spPr>
        <a:xfrm>
          <a:off x="1882080" y="236988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(𝑃𝑎𝑞𝑢𝑒𝑡𝑒𝑠 𝑟𝑒ℎ𝑎𝑏𝑖𝑙𝑖𝑡𝑎𝑑𝑜𝑠)/(𝑃𝑎𝑞𝑢𝑒𝑡𝑒𝑠 𝑟𝑒𝑐𝑢𝑝𝑒𝑟𝑎𝑑𝑜𝑠)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11</xdr:row>
      <xdr:rowOff>303120</xdr:rowOff>
    </xdr:from>
    <xdr:to>
      <xdr:col>2</xdr:col>
      <xdr:colOff>1963080</xdr:colOff>
      <xdr:row>12</xdr:row>
      <xdr:rowOff>317880</xdr:rowOff>
    </xdr:to>
    <xdr:sp macro="" textlink="">
      <xdr:nvSpPr>
        <xdr:cNvPr id="8" name="CustomShape 1"/>
        <xdr:cNvSpPr/>
      </xdr:nvSpPr>
      <xdr:spPr>
        <a:xfrm>
          <a:off x="1890360" y="505584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(𝐹𝑜𝑙𝑖𝑜𝑠 𝑎𝑡𝑒𝑛𝑑𝑖𝑑𝑜𝑠)/(𝐹𝑜𝑙𝑖𝑜𝑠 𝑟𝑒𝑐𝑖𝑏𝑖𝑑𝑜𝑠)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12</xdr:row>
      <xdr:rowOff>297000</xdr:rowOff>
    </xdr:from>
    <xdr:to>
      <xdr:col>2</xdr:col>
      <xdr:colOff>1963080</xdr:colOff>
      <xdr:row>13</xdr:row>
      <xdr:rowOff>302040</xdr:rowOff>
    </xdr:to>
    <xdr:sp macro="" textlink="">
      <xdr:nvSpPr>
        <xdr:cNvPr id="9" name="CustomShape 1"/>
        <xdr:cNvSpPr/>
      </xdr:nvSpPr>
      <xdr:spPr>
        <a:xfrm>
          <a:off x="1890360" y="5364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𝑅𝑒𝑠𝑜𝑙𝑢𝑐𝑖𝑜𝑛𝑒𝑠/(𝐷𝑒𝑛𝑢𝑛𝑐𝑖𝑎𝑠 𝑝𝑟𝑒𝑠𝑒𝑛𝑡𝑎𝑑𝑎𝑠)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13</xdr:row>
      <xdr:rowOff>282240</xdr:rowOff>
    </xdr:from>
    <xdr:to>
      <xdr:col>2</xdr:col>
      <xdr:colOff>1971360</xdr:colOff>
      <xdr:row>14</xdr:row>
      <xdr:rowOff>287280</xdr:rowOff>
    </xdr:to>
    <xdr:sp macro="" textlink="">
      <xdr:nvSpPr>
        <xdr:cNvPr id="10" name="CustomShape 1"/>
        <xdr:cNvSpPr/>
      </xdr:nvSpPr>
      <xdr:spPr>
        <a:xfrm>
          <a:off x="1898640" y="567324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14</xdr:row>
      <xdr:rowOff>285120</xdr:rowOff>
    </xdr:from>
    <xdr:to>
      <xdr:col>2</xdr:col>
      <xdr:colOff>1946520</xdr:colOff>
      <xdr:row>15</xdr:row>
      <xdr:rowOff>299880</xdr:rowOff>
    </xdr:to>
    <xdr:sp macro="" textlink="">
      <xdr:nvSpPr>
        <xdr:cNvPr id="11" name="CustomShape 1"/>
        <xdr:cNvSpPr/>
      </xdr:nvSpPr>
      <xdr:spPr>
        <a:xfrm>
          <a:off x="1873800" y="60001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15</xdr:row>
      <xdr:rowOff>275040</xdr:rowOff>
    </xdr:from>
    <xdr:to>
      <xdr:col>2</xdr:col>
      <xdr:colOff>1971360</xdr:colOff>
      <xdr:row>16</xdr:row>
      <xdr:rowOff>299520</xdr:rowOff>
    </xdr:to>
    <xdr:sp macro="" textlink="">
      <xdr:nvSpPr>
        <xdr:cNvPr id="12" name="CustomShape 1"/>
        <xdr:cNvSpPr/>
      </xdr:nvSpPr>
      <xdr:spPr>
        <a:xfrm>
          <a:off x="1898640" y="6304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16</xdr:row>
      <xdr:rowOff>273960</xdr:rowOff>
    </xdr:from>
    <xdr:to>
      <xdr:col>2</xdr:col>
      <xdr:colOff>1946520</xdr:colOff>
      <xdr:row>17</xdr:row>
      <xdr:rowOff>298080</xdr:rowOff>
    </xdr:to>
    <xdr:sp macro="" textlink="">
      <xdr:nvSpPr>
        <xdr:cNvPr id="13" name="CustomShape 1"/>
        <xdr:cNvSpPr/>
      </xdr:nvSpPr>
      <xdr:spPr>
        <a:xfrm>
          <a:off x="1873800" y="66078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103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102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15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16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18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19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1150200</xdr:colOff>
      <xdr:row>9</xdr:row>
      <xdr:rowOff>300240</xdr:rowOff>
    </xdr:from>
    <xdr:to>
      <xdr:col>2</xdr:col>
      <xdr:colOff>1827360</xdr:colOff>
      <xdr:row>10</xdr:row>
      <xdr:rowOff>305280</xdr:rowOff>
    </xdr:to>
    <xdr:sp macro="" textlink="">
      <xdr:nvSpPr>
        <xdr:cNvPr id="12" name="CustomShape 1"/>
        <xdr:cNvSpPr/>
      </xdr:nvSpPr>
      <xdr:spPr>
        <a:xfrm>
          <a:off x="1754640" y="4405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(𝐸𝑗𝑒𝑟𝑐𝑖𝑐𝑖𝑜𝑠 𝑎𝑡𝑒𝑛𝑑𝑖𝑑𝑜𝑠)/(𝐸𝑗𝑒𝑟𝑐𝑖𝑐𝑖𝑜𝑠 𝑠𝑜𝑙𝑖𝑐𝑖𝑡𝑎𝑑𝑜𝑠)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0</xdr:colOff>
      <xdr:row>10</xdr:row>
      <xdr:rowOff>300240</xdr:rowOff>
    </xdr:from>
    <xdr:to>
      <xdr:col>2</xdr:col>
      <xdr:colOff>1896840</xdr:colOff>
      <xdr:row>11</xdr:row>
      <xdr:rowOff>305640</xdr:rowOff>
    </xdr:to>
    <xdr:sp macro="" textlink="">
      <xdr:nvSpPr>
        <xdr:cNvPr id="13" name="CustomShape 1"/>
        <xdr:cNvSpPr/>
      </xdr:nvSpPr>
      <xdr:spPr>
        <a:xfrm>
          <a:off x="1824120" y="4729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(𝐸𝑞𝑢𝑖𝑝𝑜𝑠 𝑓𝑢𝑛𝑐𝑖𝑜𝑛𝑎𝑛𝑑𝑜)/(𝐸𝑞𝑢𝑖𝑝𝑜𝑠 𝑎𝑢𝑡𝑜𝑟𝑖𝑧𝑎𝑑𝑜𝑠)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1080</xdr:colOff>
      <xdr:row>4</xdr:row>
      <xdr:rowOff>303120</xdr:rowOff>
    </xdr:from>
    <xdr:to>
      <xdr:col>2</xdr:col>
      <xdr:colOff>1897920</xdr:colOff>
      <xdr:row>6</xdr:row>
      <xdr:rowOff>3240</xdr:rowOff>
    </xdr:to>
    <xdr:sp macro="" textlink="">
      <xdr:nvSpPr>
        <xdr:cNvPr id="14" name="CustomShape 1"/>
        <xdr:cNvSpPr/>
      </xdr:nvSpPr>
      <xdr:spPr>
        <a:xfrm>
          <a:off x="1825200" y="2646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(𝑃𝑒𝑟𝑠𝑜𝑛𝑎𝑙 𝑐𝑎𝑝𝑎𝑐𝑖𝑡𝑎𝑑𝑜)/(𝑃𝑒𝑟𝑠𝑜𝑛𝑎𝑙 𝑟𝑒𝑞𝑢𝑒𝑟𝑖𝑑𝑜)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57960</xdr:colOff>
      <xdr:row>0</xdr:row>
      <xdr:rowOff>0</xdr:rowOff>
    </xdr:from>
    <xdr:to>
      <xdr:col>1</xdr:col>
      <xdr:colOff>1219320</xdr:colOff>
      <xdr:row>0</xdr:row>
      <xdr:rowOff>937440</xdr:rowOff>
    </xdr:to>
    <xdr:pic>
      <xdr:nvPicPr>
        <xdr:cNvPr id="15" name="4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60" y="0"/>
          <a:ext cx="1765800" cy="937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5760</xdr:colOff>
      <xdr:row>2</xdr:row>
      <xdr:rowOff>779400</xdr:rowOff>
    </xdr:from>
    <xdr:to>
      <xdr:col>2</xdr:col>
      <xdr:colOff>1902600</xdr:colOff>
      <xdr:row>3</xdr:row>
      <xdr:rowOff>298800</xdr:rowOff>
    </xdr:to>
    <xdr:sp macro="" textlink="">
      <xdr:nvSpPr>
        <xdr:cNvPr id="16" name="CustomShape 1"/>
        <xdr:cNvSpPr/>
      </xdr:nvSpPr>
      <xdr:spPr>
        <a:xfrm>
          <a:off x="1829880" y="200808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(𝑆𝑒𝑑𝑒𝑠 𝑓𝑢𝑛𝑐𝑖𝑜𝑛𝑎𝑙𝑒𝑠)/(𝑆𝑒𝑑𝑒𝑠 𝑟𝑒𝑞𝑢𝑒𝑟𝑖𝑑𝑎𝑠)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57960</xdr:colOff>
      <xdr:row>4</xdr:row>
      <xdr:rowOff>27000</xdr:rowOff>
    </xdr:from>
    <xdr:to>
      <xdr:col>2</xdr:col>
      <xdr:colOff>1954800</xdr:colOff>
      <xdr:row>5</xdr:row>
      <xdr:rowOff>32040</xdr:rowOff>
    </xdr:to>
    <xdr:sp macro="" textlink="">
      <xdr:nvSpPr>
        <xdr:cNvPr id="17" name="CustomShape 1"/>
        <xdr:cNvSpPr/>
      </xdr:nvSpPr>
      <xdr:spPr>
        <a:xfrm>
          <a:off x="1882080" y="236988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(𝑃𝑎𝑞𝑢𝑒𝑡𝑒𝑠 𝑟𝑒ℎ𝑎𝑏𝑖𝑙𝑖𝑡𝑎𝑑𝑜𝑠)/(𝑃𝑎𝑞𝑢𝑒𝑡𝑒𝑠 𝑟𝑒𝑐𝑢𝑝𝑒𝑟𝑎𝑑𝑜𝑠)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11</xdr:row>
      <xdr:rowOff>303120</xdr:rowOff>
    </xdr:from>
    <xdr:to>
      <xdr:col>2</xdr:col>
      <xdr:colOff>1963080</xdr:colOff>
      <xdr:row>12</xdr:row>
      <xdr:rowOff>317880</xdr:rowOff>
    </xdr:to>
    <xdr:sp macro="" textlink="">
      <xdr:nvSpPr>
        <xdr:cNvPr id="18" name="CustomShape 1"/>
        <xdr:cNvSpPr/>
      </xdr:nvSpPr>
      <xdr:spPr>
        <a:xfrm>
          <a:off x="1890360" y="505584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(𝐹𝑜𝑙𝑖𝑜𝑠 𝑎𝑡𝑒𝑛𝑑𝑖𝑑𝑜𝑠)/(𝐹𝑜𝑙𝑖𝑜𝑠 𝑟𝑒𝑐𝑖𝑏𝑖𝑑𝑜𝑠)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12</xdr:row>
      <xdr:rowOff>297000</xdr:rowOff>
    </xdr:from>
    <xdr:to>
      <xdr:col>2</xdr:col>
      <xdr:colOff>1963080</xdr:colOff>
      <xdr:row>13</xdr:row>
      <xdr:rowOff>302040</xdr:rowOff>
    </xdr:to>
    <xdr:sp macro="" textlink="">
      <xdr:nvSpPr>
        <xdr:cNvPr id="19" name="CustomShape 1"/>
        <xdr:cNvSpPr/>
      </xdr:nvSpPr>
      <xdr:spPr>
        <a:xfrm>
          <a:off x="1890360" y="5364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𝑅𝑒𝑠𝑜𝑙𝑢𝑐𝑖𝑜𝑛𝑒𝑠/(𝐷𝑒𝑛𝑢𝑛𝑐𝑖𝑎𝑠 𝑝𝑟𝑒𝑠𝑒𝑛𝑡𝑎𝑑𝑎𝑠)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13</xdr:row>
      <xdr:rowOff>282240</xdr:rowOff>
    </xdr:from>
    <xdr:to>
      <xdr:col>2</xdr:col>
      <xdr:colOff>1971360</xdr:colOff>
      <xdr:row>14</xdr:row>
      <xdr:rowOff>287280</xdr:rowOff>
    </xdr:to>
    <xdr:sp macro="" textlink="">
      <xdr:nvSpPr>
        <xdr:cNvPr id="20" name="CustomShape 1"/>
        <xdr:cNvSpPr/>
      </xdr:nvSpPr>
      <xdr:spPr>
        <a:xfrm>
          <a:off x="1898640" y="567324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14</xdr:row>
      <xdr:rowOff>252000</xdr:rowOff>
    </xdr:from>
    <xdr:to>
      <xdr:col>2</xdr:col>
      <xdr:colOff>1946520</xdr:colOff>
      <xdr:row>15</xdr:row>
      <xdr:rowOff>266760</xdr:rowOff>
    </xdr:to>
    <xdr:sp macro="" textlink="">
      <xdr:nvSpPr>
        <xdr:cNvPr id="21" name="CustomShape 1"/>
        <xdr:cNvSpPr/>
      </xdr:nvSpPr>
      <xdr:spPr>
        <a:xfrm>
          <a:off x="1873800" y="5967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15</xdr:row>
      <xdr:rowOff>275040</xdr:rowOff>
    </xdr:from>
    <xdr:to>
      <xdr:col>2</xdr:col>
      <xdr:colOff>1971360</xdr:colOff>
      <xdr:row>16</xdr:row>
      <xdr:rowOff>299520</xdr:rowOff>
    </xdr:to>
    <xdr:sp macro="" textlink="">
      <xdr:nvSpPr>
        <xdr:cNvPr id="22" name="CustomShape 1"/>
        <xdr:cNvSpPr/>
      </xdr:nvSpPr>
      <xdr:spPr>
        <a:xfrm>
          <a:off x="1898640" y="6304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16</xdr:row>
      <xdr:rowOff>273960</xdr:rowOff>
    </xdr:from>
    <xdr:to>
      <xdr:col>2</xdr:col>
      <xdr:colOff>1946520</xdr:colOff>
      <xdr:row>17</xdr:row>
      <xdr:rowOff>298080</xdr:rowOff>
    </xdr:to>
    <xdr:sp macro="" textlink="">
      <xdr:nvSpPr>
        <xdr:cNvPr id="23" name="CustomShape 1"/>
        <xdr:cNvSpPr/>
      </xdr:nvSpPr>
      <xdr:spPr>
        <a:xfrm>
          <a:off x="1873800" y="66078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205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205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205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1150200</xdr:colOff>
      <xdr:row>9</xdr:row>
      <xdr:rowOff>300240</xdr:rowOff>
    </xdr:from>
    <xdr:to>
      <xdr:col>2</xdr:col>
      <xdr:colOff>1827360</xdr:colOff>
      <xdr:row>10</xdr:row>
      <xdr:rowOff>305280</xdr:rowOff>
    </xdr:to>
    <xdr:sp macro="" textlink="">
      <xdr:nvSpPr>
        <xdr:cNvPr id="24" name="CustomShape 1"/>
        <xdr:cNvSpPr/>
      </xdr:nvSpPr>
      <xdr:spPr>
        <a:xfrm>
          <a:off x="1754640" y="4405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(𝐸𝑗𝑒𝑟𝑐𝑖𝑐𝑖𝑜𝑠 𝑎𝑡𝑒𝑛𝑑𝑖𝑑𝑜𝑠)/(𝐸𝑗𝑒𝑟𝑐𝑖𝑐𝑖𝑜𝑠 𝑠𝑜𝑙𝑖𝑐𝑖𝑡𝑎𝑑𝑜𝑠)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0</xdr:colOff>
      <xdr:row>10</xdr:row>
      <xdr:rowOff>300240</xdr:rowOff>
    </xdr:from>
    <xdr:to>
      <xdr:col>2</xdr:col>
      <xdr:colOff>1896840</xdr:colOff>
      <xdr:row>11</xdr:row>
      <xdr:rowOff>305640</xdr:rowOff>
    </xdr:to>
    <xdr:sp macro="" textlink="">
      <xdr:nvSpPr>
        <xdr:cNvPr id="25" name="CustomShape 1"/>
        <xdr:cNvSpPr/>
      </xdr:nvSpPr>
      <xdr:spPr>
        <a:xfrm>
          <a:off x="1824120" y="4729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(𝐸𝑞𝑢𝑖𝑝𝑜𝑠 𝑓𝑢𝑛𝑐𝑖𝑜𝑛𝑎𝑛𝑑𝑜)/(𝐸𝑞𝑢𝑖𝑝𝑜𝑠 𝑎𝑢𝑡𝑜𝑟𝑖𝑧𝑎𝑑𝑜𝑠)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1080</xdr:colOff>
      <xdr:row>4</xdr:row>
      <xdr:rowOff>303120</xdr:rowOff>
    </xdr:from>
    <xdr:to>
      <xdr:col>2</xdr:col>
      <xdr:colOff>1897920</xdr:colOff>
      <xdr:row>6</xdr:row>
      <xdr:rowOff>3240</xdr:rowOff>
    </xdr:to>
    <xdr:sp macro="" textlink="">
      <xdr:nvSpPr>
        <xdr:cNvPr id="26" name="CustomShape 1"/>
        <xdr:cNvSpPr/>
      </xdr:nvSpPr>
      <xdr:spPr>
        <a:xfrm>
          <a:off x="1825200" y="2646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(𝑃𝑒𝑟𝑠𝑜𝑛𝑎𝑙 𝑐𝑎𝑝𝑎𝑐𝑖𝑡𝑎𝑑𝑜)/(𝑃𝑒𝑟𝑠𝑜𝑛𝑎𝑙 𝑟𝑒𝑞𝑢𝑒𝑟𝑖𝑑𝑜)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57960</xdr:colOff>
      <xdr:row>0</xdr:row>
      <xdr:rowOff>0</xdr:rowOff>
    </xdr:from>
    <xdr:to>
      <xdr:col>1</xdr:col>
      <xdr:colOff>1219320</xdr:colOff>
      <xdr:row>0</xdr:row>
      <xdr:rowOff>937440</xdr:rowOff>
    </xdr:to>
    <xdr:pic>
      <xdr:nvPicPr>
        <xdr:cNvPr id="27" name="4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60" y="0"/>
          <a:ext cx="1765800" cy="937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5760</xdr:colOff>
      <xdr:row>2</xdr:row>
      <xdr:rowOff>779400</xdr:rowOff>
    </xdr:from>
    <xdr:to>
      <xdr:col>2</xdr:col>
      <xdr:colOff>1902600</xdr:colOff>
      <xdr:row>3</xdr:row>
      <xdr:rowOff>298800</xdr:rowOff>
    </xdr:to>
    <xdr:sp macro="" textlink="">
      <xdr:nvSpPr>
        <xdr:cNvPr id="28" name="CustomShape 1"/>
        <xdr:cNvSpPr/>
      </xdr:nvSpPr>
      <xdr:spPr>
        <a:xfrm>
          <a:off x="1829880" y="200808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(𝑆𝑒𝑑𝑒𝑠 𝑓𝑢𝑛𝑐𝑖𝑜𝑛𝑎𝑙𝑒𝑠)/(𝑆𝑒𝑑𝑒𝑠 𝑟𝑒𝑞𝑢𝑒𝑟𝑖𝑑𝑎𝑠)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57960</xdr:colOff>
      <xdr:row>4</xdr:row>
      <xdr:rowOff>27000</xdr:rowOff>
    </xdr:from>
    <xdr:to>
      <xdr:col>2</xdr:col>
      <xdr:colOff>1954800</xdr:colOff>
      <xdr:row>5</xdr:row>
      <xdr:rowOff>32040</xdr:rowOff>
    </xdr:to>
    <xdr:sp macro="" textlink="">
      <xdr:nvSpPr>
        <xdr:cNvPr id="29" name="CustomShape 1"/>
        <xdr:cNvSpPr/>
      </xdr:nvSpPr>
      <xdr:spPr>
        <a:xfrm>
          <a:off x="1882080" y="236988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(𝑃𝑎𝑞𝑢𝑒𝑡𝑒𝑠 𝑟𝑒ℎ𝑎𝑏𝑖𝑙𝑖𝑡𝑎𝑑𝑜𝑠)/(𝑃𝑎𝑞𝑢𝑒𝑡𝑒𝑠 𝑟𝑒𝑐𝑢𝑝𝑒𝑟𝑎𝑑𝑜𝑠)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11</xdr:row>
      <xdr:rowOff>303120</xdr:rowOff>
    </xdr:from>
    <xdr:to>
      <xdr:col>2</xdr:col>
      <xdr:colOff>1963080</xdr:colOff>
      <xdr:row>12</xdr:row>
      <xdr:rowOff>317880</xdr:rowOff>
    </xdr:to>
    <xdr:sp macro="" textlink="">
      <xdr:nvSpPr>
        <xdr:cNvPr id="30" name="CustomShape 1"/>
        <xdr:cNvSpPr/>
      </xdr:nvSpPr>
      <xdr:spPr>
        <a:xfrm>
          <a:off x="1890360" y="505584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(𝐹𝑜𝑙𝑖𝑜𝑠 𝑎𝑡𝑒𝑛𝑑𝑖𝑑𝑜𝑠)/(𝐹𝑜𝑙𝑖𝑜𝑠 𝑟𝑒𝑐𝑖𝑏𝑖𝑑𝑜𝑠)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12</xdr:row>
      <xdr:rowOff>297000</xdr:rowOff>
    </xdr:from>
    <xdr:to>
      <xdr:col>2</xdr:col>
      <xdr:colOff>1963080</xdr:colOff>
      <xdr:row>13</xdr:row>
      <xdr:rowOff>302040</xdr:rowOff>
    </xdr:to>
    <xdr:sp macro="" textlink="">
      <xdr:nvSpPr>
        <xdr:cNvPr id="31" name="CustomShape 1"/>
        <xdr:cNvSpPr/>
      </xdr:nvSpPr>
      <xdr:spPr>
        <a:xfrm>
          <a:off x="1890360" y="5364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𝑅𝑒𝑠𝑜𝑙𝑢𝑐𝑖𝑜𝑛𝑒𝑠/(𝐷𝑒𝑛𝑢𝑛𝑐𝑖𝑎𝑠 𝑝𝑟𝑒𝑠𝑒𝑛𝑡𝑎𝑑𝑎𝑠)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13</xdr:row>
      <xdr:rowOff>282240</xdr:rowOff>
    </xdr:from>
    <xdr:to>
      <xdr:col>2</xdr:col>
      <xdr:colOff>1971360</xdr:colOff>
      <xdr:row>14</xdr:row>
      <xdr:rowOff>287280</xdr:rowOff>
    </xdr:to>
    <xdr:sp macro="" textlink="">
      <xdr:nvSpPr>
        <xdr:cNvPr id="32" name="CustomShape 1"/>
        <xdr:cNvSpPr/>
      </xdr:nvSpPr>
      <xdr:spPr>
        <a:xfrm>
          <a:off x="1898640" y="567324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14</xdr:row>
      <xdr:rowOff>252000</xdr:rowOff>
    </xdr:from>
    <xdr:to>
      <xdr:col>2</xdr:col>
      <xdr:colOff>1946520</xdr:colOff>
      <xdr:row>15</xdr:row>
      <xdr:rowOff>266760</xdr:rowOff>
    </xdr:to>
    <xdr:sp macro="" textlink="">
      <xdr:nvSpPr>
        <xdr:cNvPr id="33" name="CustomShape 1"/>
        <xdr:cNvSpPr/>
      </xdr:nvSpPr>
      <xdr:spPr>
        <a:xfrm>
          <a:off x="1873800" y="5967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15</xdr:row>
      <xdr:rowOff>275040</xdr:rowOff>
    </xdr:from>
    <xdr:to>
      <xdr:col>2</xdr:col>
      <xdr:colOff>1971360</xdr:colOff>
      <xdr:row>16</xdr:row>
      <xdr:rowOff>299520</xdr:rowOff>
    </xdr:to>
    <xdr:sp macro="" textlink="">
      <xdr:nvSpPr>
        <xdr:cNvPr id="34" name="CustomShape 1"/>
        <xdr:cNvSpPr/>
      </xdr:nvSpPr>
      <xdr:spPr>
        <a:xfrm>
          <a:off x="1898640" y="6304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16</xdr:row>
      <xdr:rowOff>273960</xdr:rowOff>
    </xdr:from>
    <xdr:to>
      <xdr:col>2</xdr:col>
      <xdr:colOff>1946520</xdr:colOff>
      <xdr:row>17</xdr:row>
      <xdr:rowOff>298080</xdr:rowOff>
    </xdr:to>
    <xdr:sp macro="" textlink="">
      <xdr:nvSpPr>
        <xdr:cNvPr id="35" name="CustomShape 1"/>
        <xdr:cNvSpPr/>
      </xdr:nvSpPr>
      <xdr:spPr>
        <a:xfrm>
          <a:off x="1873800" y="66078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307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307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209550</xdr:colOff>
      <xdr:row>30</xdr:row>
      <xdr:rowOff>142875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1150200</xdr:colOff>
      <xdr:row>9</xdr:row>
      <xdr:rowOff>300240</xdr:rowOff>
    </xdr:from>
    <xdr:to>
      <xdr:col>2</xdr:col>
      <xdr:colOff>1827360</xdr:colOff>
      <xdr:row>10</xdr:row>
      <xdr:rowOff>305280</xdr:rowOff>
    </xdr:to>
    <xdr:sp macro="" textlink="">
      <xdr:nvSpPr>
        <xdr:cNvPr id="36" name="CustomShape 1"/>
        <xdr:cNvSpPr/>
      </xdr:nvSpPr>
      <xdr:spPr>
        <a:xfrm>
          <a:off x="1754640" y="4405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(𝐸𝑗𝑒𝑟𝑐𝑖𝑐𝑖𝑜𝑠 𝑎𝑡𝑒𝑛𝑑𝑖𝑑𝑜𝑠)/(𝐸𝑗𝑒𝑟𝑐𝑖𝑐𝑖𝑜𝑠 𝑠𝑜𝑙𝑖𝑐𝑖𝑡𝑎𝑑𝑜𝑠)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0</xdr:colOff>
      <xdr:row>10</xdr:row>
      <xdr:rowOff>300240</xdr:rowOff>
    </xdr:from>
    <xdr:to>
      <xdr:col>2</xdr:col>
      <xdr:colOff>1896840</xdr:colOff>
      <xdr:row>11</xdr:row>
      <xdr:rowOff>305640</xdr:rowOff>
    </xdr:to>
    <xdr:sp macro="" textlink="">
      <xdr:nvSpPr>
        <xdr:cNvPr id="37" name="CustomShape 1"/>
        <xdr:cNvSpPr/>
      </xdr:nvSpPr>
      <xdr:spPr>
        <a:xfrm>
          <a:off x="1824120" y="4729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(𝐸𝑞𝑢𝑖𝑝𝑜𝑠 𝑓𝑢𝑛𝑐𝑖𝑜𝑛𝑎𝑛𝑑𝑜)/(𝐸𝑞𝑢𝑖𝑝𝑜𝑠 𝑎𝑢𝑡𝑜𝑟𝑖𝑧𝑎𝑑𝑜𝑠)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1080</xdr:colOff>
      <xdr:row>4</xdr:row>
      <xdr:rowOff>303120</xdr:rowOff>
    </xdr:from>
    <xdr:to>
      <xdr:col>2</xdr:col>
      <xdr:colOff>1897920</xdr:colOff>
      <xdr:row>6</xdr:row>
      <xdr:rowOff>3240</xdr:rowOff>
    </xdr:to>
    <xdr:sp macro="" textlink="">
      <xdr:nvSpPr>
        <xdr:cNvPr id="38" name="CustomShape 1"/>
        <xdr:cNvSpPr/>
      </xdr:nvSpPr>
      <xdr:spPr>
        <a:xfrm>
          <a:off x="1825200" y="2646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(𝑃𝑒𝑟𝑠𝑜𝑛𝑎𝑙 𝑐𝑎𝑝𝑎𝑐𝑖𝑡𝑎𝑑𝑜)/(𝑃𝑒𝑟𝑠𝑜𝑛𝑎𝑙 𝑟𝑒𝑞𝑢𝑒𝑟𝑖𝑑𝑜)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57960</xdr:colOff>
      <xdr:row>0</xdr:row>
      <xdr:rowOff>0</xdr:rowOff>
    </xdr:from>
    <xdr:to>
      <xdr:col>1</xdr:col>
      <xdr:colOff>1219320</xdr:colOff>
      <xdr:row>0</xdr:row>
      <xdr:rowOff>937440</xdr:rowOff>
    </xdr:to>
    <xdr:pic>
      <xdr:nvPicPr>
        <xdr:cNvPr id="39" name="4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960" y="0"/>
          <a:ext cx="1765800" cy="9374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5760</xdr:colOff>
      <xdr:row>2</xdr:row>
      <xdr:rowOff>779400</xdr:rowOff>
    </xdr:from>
    <xdr:to>
      <xdr:col>2</xdr:col>
      <xdr:colOff>1902600</xdr:colOff>
      <xdr:row>3</xdr:row>
      <xdr:rowOff>298800</xdr:rowOff>
    </xdr:to>
    <xdr:sp macro="" textlink="">
      <xdr:nvSpPr>
        <xdr:cNvPr id="40" name="CustomShape 1"/>
        <xdr:cNvSpPr/>
      </xdr:nvSpPr>
      <xdr:spPr>
        <a:xfrm>
          <a:off x="1829880" y="200808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(𝑆𝑒𝑑𝑒𝑠 𝑓𝑢𝑛𝑐𝑖𝑜𝑛𝑎𝑙𝑒𝑠)/(𝑆𝑒𝑑𝑒𝑠 𝑟𝑒𝑞𝑢𝑒𝑟𝑖𝑑𝑎𝑠)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57960</xdr:colOff>
      <xdr:row>4</xdr:row>
      <xdr:rowOff>27000</xdr:rowOff>
    </xdr:from>
    <xdr:to>
      <xdr:col>2</xdr:col>
      <xdr:colOff>1954800</xdr:colOff>
      <xdr:row>5</xdr:row>
      <xdr:rowOff>32040</xdr:rowOff>
    </xdr:to>
    <xdr:sp macro="" textlink="">
      <xdr:nvSpPr>
        <xdr:cNvPr id="41" name="CustomShape 1"/>
        <xdr:cNvSpPr/>
      </xdr:nvSpPr>
      <xdr:spPr>
        <a:xfrm>
          <a:off x="1882080" y="236988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(𝑃𝑎𝑞𝑢𝑒𝑡𝑒𝑠 𝑟𝑒ℎ𝑎𝑏𝑖𝑙𝑖𝑡𝑎𝑑𝑜𝑠)/(𝑃𝑎𝑞𝑢𝑒𝑡𝑒𝑠 𝑟𝑒𝑐𝑢𝑝𝑒𝑟𝑎𝑑𝑜𝑠)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11</xdr:row>
      <xdr:rowOff>303120</xdr:rowOff>
    </xdr:from>
    <xdr:to>
      <xdr:col>2</xdr:col>
      <xdr:colOff>1963080</xdr:colOff>
      <xdr:row>12</xdr:row>
      <xdr:rowOff>317880</xdr:rowOff>
    </xdr:to>
    <xdr:sp macro="" textlink="">
      <xdr:nvSpPr>
        <xdr:cNvPr id="42" name="CustomShape 1"/>
        <xdr:cNvSpPr/>
      </xdr:nvSpPr>
      <xdr:spPr>
        <a:xfrm>
          <a:off x="1890360" y="505584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(𝐹𝑜𝑙𝑖𝑜𝑠 𝑎𝑡𝑒𝑛𝑑𝑖𝑑𝑜𝑠)/(𝐹𝑜𝑙𝑖𝑜𝑠 𝑟𝑒𝑐𝑖𝑏𝑖𝑑𝑜𝑠)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66240</xdr:colOff>
      <xdr:row>12</xdr:row>
      <xdr:rowOff>297000</xdr:rowOff>
    </xdr:from>
    <xdr:to>
      <xdr:col>2</xdr:col>
      <xdr:colOff>1963080</xdr:colOff>
      <xdr:row>13</xdr:row>
      <xdr:rowOff>302040</xdr:rowOff>
    </xdr:to>
    <xdr:sp macro="" textlink="">
      <xdr:nvSpPr>
        <xdr:cNvPr id="43" name="CustomShape 1"/>
        <xdr:cNvSpPr/>
      </xdr:nvSpPr>
      <xdr:spPr>
        <a:xfrm>
          <a:off x="1890360" y="5364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𝑅𝑒𝑠𝑜𝑙𝑢𝑐𝑖𝑜𝑛𝑒𝑠/(𝐷𝑒𝑛𝑢𝑛𝑐𝑖𝑎𝑠 𝑝𝑟𝑒𝑠𝑒𝑛𝑡𝑎𝑑𝑎𝑠)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13</xdr:row>
      <xdr:rowOff>282240</xdr:rowOff>
    </xdr:from>
    <xdr:to>
      <xdr:col>2</xdr:col>
      <xdr:colOff>1971360</xdr:colOff>
      <xdr:row>14</xdr:row>
      <xdr:rowOff>287280</xdr:rowOff>
    </xdr:to>
    <xdr:sp macro="" textlink="">
      <xdr:nvSpPr>
        <xdr:cNvPr id="44" name="CustomShape 1"/>
        <xdr:cNvSpPr/>
      </xdr:nvSpPr>
      <xdr:spPr>
        <a:xfrm>
          <a:off x="1898640" y="567324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14</xdr:row>
      <xdr:rowOff>252000</xdr:rowOff>
    </xdr:from>
    <xdr:to>
      <xdr:col>2</xdr:col>
      <xdr:colOff>1946520</xdr:colOff>
      <xdr:row>15</xdr:row>
      <xdr:rowOff>266760</xdr:rowOff>
    </xdr:to>
    <xdr:sp macro="" textlink="">
      <xdr:nvSpPr>
        <xdr:cNvPr id="45" name="CustomShape 1"/>
        <xdr:cNvSpPr/>
      </xdr:nvSpPr>
      <xdr:spPr>
        <a:xfrm>
          <a:off x="1873800" y="59670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74520</xdr:colOff>
      <xdr:row>15</xdr:row>
      <xdr:rowOff>275040</xdr:rowOff>
    </xdr:from>
    <xdr:to>
      <xdr:col>2</xdr:col>
      <xdr:colOff>1971360</xdr:colOff>
      <xdr:row>16</xdr:row>
      <xdr:rowOff>299520</xdr:rowOff>
    </xdr:to>
    <xdr:sp macro="" textlink="">
      <xdr:nvSpPr>
        <xdr:cNvPr id="46" name="CustomShape 1"/>
        <xdr:cNvSpPr/>
      </xdr:nvSpPr>
      <xdr:spPr>
        <a:xfrm>
          <a:off x="1898640" y="630432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𝑎𝑝𝑟𝑜𝑏𝑎𝑑𝑜𝑠)/(𝑃𝑟𝑜𝑦𝑒𝑐𝑡𝑜𝑠 𝑝𝑟𝑒𝑠𝑒𝑛𝑡𝑎𝑑𝑜𝑠)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49680</xdr:colOff>
      <xdr:row>16</xdr:row>
      <xdr:rowOff>273960</xdr:rowOff>
    </xdr:from>
    <xdr:to>
      <xdr:col>2</xdr:col>
      <xdr:colOff>1946520</xdr:colOff>
      <xdr:row>17</xdr:row>
      <xdr:rowOff>298080</xdr:rowOff>
    </xdr:to>
    <xdr:sp macro="" textlink="">
      <xdr:nvSpPr>
        <xdr:cNvPr id="47" name="CustomShape 1"/>
        <xdr:cNvSpPr/>
      </xdr:nvSpPr>
      <xdr:spPr>
        <a:xfrm>
          <a:off x="1873800" y="6607800"/>
          <a:ext cx="18968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𝐴𝑐𝑡𝑎𝑠/𝑆𝑒𝑠𝑖𝑜𝑛𝑒𝑠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523875</xdr:colOff>
      <xdr:row>30</xdr:row>
      <xdr:rowOff>142875</xdr:rowOff>
    </xdr:to>
    <xdr:sp macro="" textlink="">
      <xdr:nvSpPr>
        <xdr:cNvPr id="410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523875</xdr:colOff>
      <xdr:row>30</xdr:row>
      <xdr:rowOff>142875</xdr:rowOff>
    </xdr:to>
    <xdr:sp macro="" textlink="">
      <xdr:nvSpPr>
        <xdr:cNvPr id="4100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523875</xdr:colOff>
      <xdr:row>30</xdr:row>
      <xdr:rowOff>142875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523875</xdr:colOff>
      <xdr:row>30</xdr:row>
      <xdr:rowOff>142875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523875</xdr:colOff>
      <xdr:row>30</xdr:row>
      <xdr:rowOff>142875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523875</xdr:colOff>
      <xdr:row>30</xdr:row>
      <xdr:rowOff>142875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523875</xdr:colOff>
      <xdr:row>30</xdr:row>
      <xdr:rowOff>142875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523875</xdr:colOff>
      <xdr:row>30</xdr:row>
      <xdr:rowOff>142875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523875</xdr:colOff>
      <xdr:row>30</xdr:row>
      <xdr:rowOff>142875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56160</xdr:colOff>
      <xdr:row>0</xdr:row>
      <xdr:rowOff>0</xdr:rowOff>
    </xdr:from>
    <xdr:to>
      <xdr:col>1</xdr:col>
      <xdr:colOff>1177560</xdr:colOff>
      <xdr:row>1</xdr:row>
      <xdr:rowOff>1277</xdr:rowOff>
    </xdr:to>
    <xdr:pic>
      <xdr:nvPicPr>
        <xdr:cNvPr id="48" name="11 Imagen" descr="Instituto Electoral y de Participación Ciudadana de Jalisco"/>
        <xdr:cNvPicPr/>
      </xdr:nvPicPr>
      <xdr:blipFill>
        <a:blip xmlns:r="http://schemas.openxmlformats.org/officeDocument/2006/relationships" r:embed="rId1"/>
        <a:stretch/>
      </xdr:blipFill>
      <xdr:spPr>
        <a:xfrm>
          <a:off x="56160" y="0"/>
          <a:ext cx="1914480" cy="837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120240</xdr:colOff>
      <xdr:row>12</xdr:row>
      <xdr:rowOff>100800</xdr:rowOff>
    </xdr:from>
    <xdr:to>
      <xdr:col>7</xdr:col>
      <xdr:colOff>434160</xdr:colOff>
      <xdr:row>12</xdr:row>
      <xdr:rowOff>359640</xdr:rowOff>
    </xdr:to>
    <xdr:sp macro="" textlink="">
      <xdr:nvSpPr>
        <xdr:cNvPr id="49" name="CustomShape 1"/>
        <xdr:cNvSpPr/>
      </xdr:nvSpPr>
      <xdr:spPr>
        <a:xfrm>
          <a:off x="5874480" y="6054480"/>
          <a:ext cx="1753920" cy="258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399960</xdr:colOff>
      <xdr:row>9</xdr:row>
      <xdr:rowOff>248040</xdr:rowOff>
    </xdr:from>
    <xdr:to>
      <xdr:col>7</xdr:col>
      <xdr:colOff>196200</xdr:colOff>
      <xdr:row>9</xdr:row>
      <xdr:rowOff>360000</xdr:rowOff>
    </xdr:to>
    <xdr:sp macro="" textlink="">
      <xdr:nvSpPr>
        <xdr:cNvPr id="50" name="CustomShape 1"/>
        <xdr:cNvSpPr/>
      </xdr:nvSpPr>
      <xdr:spPr>
        <a:xfrm>
          <a:off x="6154200" y="5121360"/>
          <a:ext cx="1236240" cy="111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486720</xdr:colOff>
      <xdr:row>35</xdr:row>
      <xdr:rowOff>23400</xdr:rowOff>
    </xdr:from>
    <xdr:to>
      <xdr:col>2</xdr:col>
      <xdr:colOff>2104200</xdr:colOff>
      <xdr:row>35</xdr:row>
      <xdr:rowOff>489960</xdr:rowOff>
    </xdr:to>
    <xdr:sp macro="" textlink="">
      <xdr:nvSpPr>
        <xdr:cNvPr id="51" name="CustomShape 1"/>
        <xdr:cNvSpPr/>
      </xdr:nvSpPr>
      <xdr:spPr>
        <a:xfrm>
          <a:off x="2554200" y="18819360"/>
          <a:ext cx="1617480" cy="466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(𝐹𝑜𝑙𝑖𝑜𝑠 𝑡𝑢𝑟𝑛𝑎𝑑𝑜𝑠)/(𝐹𝑜𝑙𝑖𝑜𝑠 𝑎𝑡𝑒𝑛𝑑𝑖𝑑𝑜𝑠 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263160</xdr:colOff>
      <xdr:row>36</xdr:row>
      <xdr:rowOff>231840</xdr:rowOff>
    </xdr:from>
    <xdr:to>
      <xdr:col>2</xdr:col>
      <xdr:colOff>2782080</xdr:colOff>
      <xdr:row>36</xdr:row>
      <xdr:rowOff>560880</xdr:rowOff>
    </xdr:to>
    <xdr:sp macro="" textlink="">
      <xdr:nvSpPr>
        <xdr:cNvPr id="52" name="CustomShape 1"/>
        <xdr:cNvSpPr/>
      </xdr:nvSpPr>
      <xdr:spPr>
        <a:xfrm>
          <a:off x="2330640" y="19575000"/>
          <a:ext cx="251892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(𝑄𝑢𝑒𝑗𝑎𝑠 𝑦 𝑑𝑒𝑚𝑎𝑛𝑑𝑎𝑠 𝑝𝑟𝑒𝑠𝑒𝑛𝑡𝑎𝑑𝑎𝑠)/(𝑄𝑢𝑒𝑗𝑎𝑠 𝑦 𝑑𝑒𝑚𝑎𝑛𝑑𝑎𝑠 𝑎𝑡𝑒𝑛𝑑𝑖𝑑𝑎𝑠)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337680</xdr:colOff>
      <xdr:row>37</xdr:row>
      <xdr:rowOff>39240</xdr:rowOff>
    </xdr:from>
    <xdr:to>
      <xdr:col>2</xdr:col>
      <xdr:colOff>2438280</xdr:colOff>
      <xdr:row>37</xdr:row>
      <xdr:rowOff>368280</xdr:rowOff>
    </xdr:to>
    <xdr:sp macro="" textlink="">
      <xdr:nvSpPr>
        <xdr:cNvPr id="53" name="CustomShape 1"/>
        <xdr:cNvSpPr/>
      </xdr:nvSpPr>
      <xdr:spPr>
        <a:xfrm>
          <a:off x="2405160" y="20088720"/>
          <a:ext cx="210060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(𝑆𝑒𝑠𝑖𝑜𝑛𝑒𝑠 𝑝𝑟𝑜𝑔𝑟𝑎𝑚𝑎𝑑𝑎𝑠)/(𝑆𝑒𝑠𝑖𝑜𝑛𝑒𝑠 𝑎𝑡𝑒𝑛𝑑𝑖𝑑𝑎𝑠)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63000</xdr:colOff>
      <xdr:row>40</xdr:row>
      <xdr:rowOff>83880</xdr:rowOff>
    </xdr:from>
    <xdr:to>
      <xdr:col>2</xdr:col>
      <xdr:colOff>3161160</xdr:colOff>
      <xdr:row>40</xdr:row>
      <xdr:rowOff>412920</xdr:rowOff>
    </xdr:to>
    <xdr:sp macro="" textlink="">
      <xdr:nvSpPr>
        <xdr:cNvPr id="54" name="CustomShape 1"/>
        <xdr:cNvSpPr/>
      </xdr:nvSpPr>
      <xdr:spPr>
        <a:xfrm>
          <a:off x="2130480" y="21600000"/>
          <a:ext cx="309816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(𝑆𝑜𝑙𝑖𝑐𝑖𝑡𝑢𝑑𝑒𝑠 𝑟𝑒𝑐𝑖𝑏𝑖𝑑𝑎𝑠)/(𝐸𝑥𝑝𝑒𝑑𝑖𝑒𝑛𝑡𝑒𝑠 𝑒𝑙𝑎𝑏𝑜𝑟𝑎𝑑𝑜𝑠)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148680</xdr:colOff>
      <xdr:row>39</xdr:row>
      <xdr:rowOff>55440</xdr:rowOff>
    </xdr:from>
    <xdr:to>
      <xdr:col>2</xdr:col>
      <xdr:colOff>2979360</xdr:colOff>
      <xdr:row>39</xdr:row>
      <xdr:rowOff>384480</xdr:rowOff>
    </xdr:to>
    <xdr:sp macro="" textlink="">
      <xdr:nvSpPr>
        <xdr:cNvPr id="55" name="CustomShape 1"/>
        <xdr:cNvSpPr/>
      </xdr:nvSpPr>
      <xdr:spPr>
        <a:xfrm>
          <a:off x="2216160" y="21114360"/>
          <a:ext cx="283068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(𝑆𝑜𝑙𝑖𝑐𝑖𝑡𝑢𝑑𝑒𝑠 𝑟𝑒𝑎𝑙𝑖𝑧𝑎𝑑𝑎𝑠)/(𝑆𝑜𝑙𝑖𝑐𝑖𝑡𝑢𝑑𝑒𝑠 𝑎𝑢𝑡𝑜𝑟𝑖𝑧𝑎𝑑𝑎𝑠)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186840</xdr:colOff>
      <xdr:row>41</xdr:row>
      <xdr:rowOff>77040</xdr:rowOff>
    </xdr:from>
    <xdr:to>
      <xdr:col>2</xdr:col>
      <xdr:colOff>3351600</xdr:colOff>
      <xdr:row>41</xdr:row>
      <xdr:rowOff>406080</xdr:rowOff>
    </xdr:to>
    <xdr:sp macro="" textlink="">
      <xdr:nvSpPr>
        <xdr:cNvPr id="56" name="CustomShape 1"/>
        <xdr:cNvSpPr/>
      </xdr:nvSpPr>
      <xdr:spPr>
        <a:xfrm>
          <a:off x="2254320" y="22355280"/>
          <a:ext cx="316476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(𝑁ú𝑚𝑒𝑟𝑜 𝑑𝑒 𝑝𝑒𝑟𝑠𝑜𝑛𝑎𝑠 𝑖𝑛𝑐𝑟𝑖𝑡𝑎𝑠 𝑎 𝑐𝑎𝑝𝑎𝑐𝑖𝑡𝑎𝑟)/(𝑁ú𝑚𝑒𝑟𝑜 𝑑𝑒 𝑝𝑒𝑟𝑠𝑜𝑛𝑎𝑠 𝑐𝑎𝑝𝑎𝑐𝑖𝑡𝑎𝑑𝑎𝑠)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17280</xdr:colOff>
      <xdr:row>38</xdr:row>
      <xdr:rowOff>73440</xdr:rowOff>
    </xdr:from>
    <xdr:to>
      <xdr:col>3</xdr:col>
      <xdr:colOff>330840</xdr:colOff>
      <xdr:row>38</xdr:row>
      <xdr:rowOff>402480</xdr:rowOff>
    </xdr:to>
    <xdr:sp macro="" textlink="">
      <xdr:nvSpPr>
        <xdr:cNvPr id="57" name="CustomShape 1"/>
        <xdr:cNvSpPr/>
      </xdr:nvSpPr>
      <xdr:spPr>
        <a:xfrm>
          <a:off x="2084760" y="20580120"/>
          <a:ext cx="400032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(𝑁ú𝑚𝑒𝑟𝑜 𝑑𝑒 𝑠𝑜𝑙𝑖𝑐𝑖𝑡𝑢𝑑𝑒𝑠 𝑟𝑒𝑎𝑙𝑖𝑧𝑎𝑑𝑎𝑠)/(𝑁ú𝑚𝑒𝑟𝑜 𝑡𝑜𝑡𝑎𝑙 𝑑𝑒 𝑚𝑖𝑛𝑖𝑠𝑡𝑟𝑎𝑐𝑖𝑜𝑛𝑒𝑠 𝑝𝑜𝑟 𝑒𝑛𝑡𝑟𝑒𝑔𝑎𝑟 𝑎 𝑙𝑜𝑠 𝑝𝑝 2019)</a:t>
          </a:r>
          <a:r>
            <a:rPr lang="es-MX" sz="900" b="0" strike="noStrike" spc="-1">
              <a:solidFill>
                <a:srgbClr val="000000"/>
              </a:solidFill>
              <a:latin typeface="Calibri"/>
            </a:rPr>
            <a:t> 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120240</xdr:colOff>
      <xdr:row>44</xdr:row>
      <xdr:rowOff>119160</xdr:rowOff>
    </xdr:from>
    <xdr:to>
      <xdr:col>2</xdr:col>
      <xdr:colOff>2004840</xdr:colOff>
      <xdr:row>44</xdr:row>
      <xdr:rowOff>559080</xdr:rowOff>
    </xdr:to>
    <xdr:sp macro="" textlink="">
      <xdr:nvSpPr>
        <xdr:cNvPr id="58" name="CustomShape 1"/>
        <xdr:cNvSpPr/>
      </xdr:nvSpPr>
      <xdr:spPr>
        <a:xfrm>
          <a:off x="2187720" y="24095880"/>
          <a:ext cx="1884600" cy="439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(𝐷𝑖𝑐𝑡á𝑚𝑒𝑛𝑒𝑠 𝑖𝑛𝑡𝑒𝑔𝑟𝑎𝑑𝑜𝑠)/(𝐷𝑖𝑐𝑡á𝑚𝑒𝑛𝑒𝑠 𝑎𝑝𝑟𝑜𝑏𝑎𝑑𝑜𝑠)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785520</xdr:colOff>
      <xdr:row>42</xdr:row>
      <xdr:rowOff>36000</xdr:rowOff>
    </xdr:from>
    <xdr:to>
      <xdr:col>2</xdr:col>
      <xdr:colOff>2270880</xdr:colOff>
      <xdr:row>43</xdr:row>
      <xdr:rowOff>45720</xdr:rowOff>
    </xdr:to>
    <xdr:sp macro="" textlink="">
      <xdr:nvSpPr>
        <xdr:cNvPr id="59" name="CustomShape 1"/>
        <xdr:cNvSpPr/>
      </xdr:nvSpPr>
      <xdr:spPr>
        <a:xfrm>
          <a:off x="2853000" y="22952160"/>
          <a:ext cx="1485360" cy="613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(𝐴𝑐𝑡𝑎𝑠 𝑖𝑛𝑡𝑒𝑔𝑟𝑎𝑑𝑎𝑠)/(𝑠𝑒𝑠𝑖𝑜𝑛𝑒𝑠 𝑐𝑒𝑙𝑒𝑏𝑟𝑎𝑑𝑎𝑠)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488520</xdr:colOff>
      <xdr:row>43</xdr:row>
      <xdr:rowOff>79560</xdr:rowOff>
    </xdr:from>
    <xdr:to>
      <xdr:col>2</xdr:col>
      <xdr:colOff>2542320</xdr:colOff>
      <xdr:row>43</xdr:row>
      <xdr:rowOff>408600</xdr:rowOff>
    </xdr:to>
    <xdr:sp macro="" textlink="">
      <xdr:nvSpPr>
        <xdr:cNvPr id="60" name="CustomShape 1"/>
        <xdr:cNvSpPr/>
      </xdr:nvSpPr>
      <xdr:spPr>
        <a:xfrm>
          <a:off x="2556000" y="23599080"/>
          <a:ext cx="205380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(𝐴𝑐𝑢𝑒𝑟𝑑𝑜𝑠 𝑝𝑟𝑜𝑝𝑢𝑒𝑠𝑡𝑜𝑠)/(𝐴𝑐𝑢𝑒𝑟𝑑𝑜𝑠 𝑎𝑝𝑟𝑜𝑏𝑎𝑑𝑜𝑠)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120240</xdr:colOff>
      <xdr:row>46</xdr:row>
      <xdr:rowOff>119520</xdr:rowOff>
    </xdr:from>
    <xdr:to>
      <xdr:col>2</xdr:col>
      <xdr:colOff>2004840</xdr:colOff>
      <xdr:row>46</xdr:row>
      <xdr:rowOff>448560</xdr:rowOff>
    </xdr:to>
    <xdr:sp macro="" textlink="">
      <xdr:nvSpPr>
        <xdr:cNvPr id="61" name="CustomShape 1"/>
        <xdr:cNvSpPr/>
      </xdr:nvSpPr>
      <xdr:spPr>
        <a:xfrm>
          <a:off x="2187720" y="25234200"/>
          <a:ext cx="188460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(𝐴𝑔𝑒𝑛𝑑𝑎 𝑠𝑒𝑚𝑎𝑛𝑎𝑙)/(𝑠𝑒𝑚𝑎𝑛𝑎𝑠 𝑑𝑒𝑙 𝑚𝑒𝑠)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104760</xdr:colOff>
      <xdr:row>45</xdr:row>
      <xdr:rowOff>142200</xdr:rowOff>
    </xdr:from>
    <xdr:to>
      <xdr:col>2</xdr:col>
      <xdr:colOff>1989000</xdr:colOff>
      <xdr:row>45</xdr:row>
      <xdr:rowOff>471240</xdr:rowOff>
    </xdr:to>
    <xdr:sp macro="" textlink="">
      <xdr:nvSpPr>
        <xdr:cNvPr id="62" name="CustomShape 1"/>
        <xdr:cNvSpPr/>
      </xdr:nvSpPr>
      <xdr:spPr>
        <a:xfrm>
          <a:off x="2172240" y="24704280"/>
          <a:ext cx="1884240" cy="329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mbria Math"/>
            </a:rPr>
            <a:t>(𝑟𝑒𝑔, 𝑑𝑒 𝑟𝑒𝑢𝑛𝑖ó𝑛 𝑒𝑙𝑎𝑏.)/(𝑟𝑒𝑢𝑛𝑖𝑜𝑛𝑒𝑠 𝑑𝑒 𝑡𝑟𝑎𝑏 𝑐𝑒𝑙.) (100)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28440</xdr:colOff>
      <xdr:row>47</xdr:row>
      <xdr:rowOff>28080</xdr:rowOff>
    </xdr:from>
    <xdr:to>
      <xdr:col>2</xdr:col>
      <xdr:colOff>1808640</xdr:colOff>
      <xdr:row>47</xdr:row>
      <xdr:rowOff>496080</xdr:rowOff>
    </xdr:to>
    <xdr:sp macro="" textlink="">
      <xdr:nvSpPr>
        <xdr:cNvPr id="63" name="CustomShape 1"/>
        <xdr:cNvSpPr/>
      </xdr:nvSpPr>
      <xdr:spPr>
        <a:xfrm>
          <a:off x="2095920" y="25647480"/>
          <a:ext cx="1780200" cy="468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138960</xdr:colOff>
      <xdr:row>47</xdr:row>
      <xdr:rowOff>112320</xdr:rowOff>
    </xdr:from>
    <xdr:to>
      <xdr:col>2</xdr:col>
      <xdr:colOff>1756440</xdr:colOff>
      <xdr:row>47</xdr:row>
      <xdr:rowOff>615960</xdr:rowOff>
    </xdr:to>
    <xdr:sp macro="" textlink="">
      <xdr:nvSpPr>
        <xdr:cNvPr id="64" name="CustomShape 1"/>
        <xdr:cNvSpPr/>
      </xdr:nvSpPr>
      <xdr:spPr>
        <a:xfrm>
          <a:off x="2206440" y="25731720"/>
          <a:ext cx="1617480" cy="503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626400</xdr:colOff>
      <xdr:row>48</xdr:row>
      <xdr:rowOff>51480</xdr:rowOff>
    </xdr:from>
    <xdr:to>
      <xdr:col>2</xdr:col>
      <xdr:colOff>2595960</xdr:colOff>
      <xdr:row>48</xdr:row>
      <xdr:rowOff>433080</xdr:rowOff>
    </xdr:to>
    <xdr:sp macro="" textlink="">
      <xdr:nvSpPr>
        <xdr:cNvPr id="65" name="CustomShape 1"/>
        <xdr:cNvSpPr/>
      </xdr:nvSpPr>
      <xdr:spPr>
        <a:xfrm>
          <a:off x="2693880" y="26393040"/>
          <a:ext cx="1969560" cy="381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libri"/>
            </a:rPr>
            <a:t>(expedientes iniciados por responsabilidad administrativa/ expedientes resueltos)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3960</xdr:colOff>
      <xdr:row>49</xdr:row>
      <xdr:rowOff>79560</xdr:rowOff>
    </xdr:from>
    <xdr:to>
      <xdr:col>2</xdr:col>
      <xdr:colOff>1685520</xdr:colOff>
      <xdr:row>50</xdr:row>
      <xdr:rowOff>84600</xdr:rowOff>
    </xdr:to>
    <xdr:sp macro="" textlink="">
      <xdr:nvSpPr>
        <xdr:cNvPr id="66" name="CustomShape 1"/>
        <xdr:cNvSpPr/>
      </xdr:nvSpPr>
      <xdr:spPr>
        <a:xfrm>
          <a:off x="2071440" y="26920800"/>
          <a:ext cx="1681560" cy="4730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900" b="0" strike="noStrike" spc="-1">
              <a:solidFill>
                <a:srgbClr val="000000"/>
              </a:solidFill>
              <a:latin typeface="Calibri"/>
            </a:rPr>
            <a:t>Número de documentos/el total de documentas*100</a:t>
          </a:r>
          <a:endParaRPr lang="es-MX" sz="9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122040</xdr:colOff>
      <xdr:row>50</xdr:row>
      <xdr:rowOff>18720</xdr:rowOff>
    </xdr:from>
    <xdr:to>
      <xdr:col>2</xdr:col>
      <xdr:colOff>1729080</xdr:colOff>
      <xdr:row>51</xdr:row>
      <xdr:rowOff>122760</xdr:rowOff>
    </xdr:to>
    <xdr:sp macro="" textlink="">
      <xdr:nvSpPr>
        <xdr:cNvPr id="67" name="CustomShape 1"/>
        <xdr:cNvSpPr/>
      </xdr:nvSpPr>
      <xdr:spPr>
        <a:xfrm>
          <a:off x="2189520" y="27327960"/>
          <a:ext cx="1607040" cy="706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687600</xdr:colOff>
      <xdr:row>17</xdr:row>
      <xdr:rowOff>45720</xdr:rowOff>
    </xdr:from>
    <xdr:to>
      <xdr:col>2</xdr:col>
      <xdr:colOff>2660040</xdr:colOff>
      <xdr:row>17</xdr:row>
      <xdr:rowOff>425520</xdr:rowOff>
    </xdr:to>
    <xdr:sp macro="" textlink="">
      <xdr:nvSpPr>
        <xdr:cNvPr id="68" name="CustomShape 1"/>
        <xdr:cNvSpPr/>
      </xdr:nvSpPr>
      <xdr:spPr>
        <a:xfrm>
          <a:off x="2755080" y="8759160"/>
          <a:ext cx="1972440" cy="379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800" b="0" strike="noStrike" spc="-1">
              <a:solidFill>
                <a:srgbClr val="000000"/>
              </a:solidFill>
              <a:latin typeface="Arial"/>
            </a:rPr>
            <a:t>(𝑁𝑜. 𝑑𝑒 𝑑𝑜𝑐𝑢𝑚𝑒𝑛𝑡𝑎𝑐𝑖ó𝑛 𝑑𝑒𝑠𝑡𝑟𝑢𝑖𝑑𝑎)/(𝑇𝑜𝑡𝑎𝑙 𝑑𝑒 𝑑𝑜𝑐𝑡𝑜𝑠 𝑒𝑙𝑒𝑐 𝑟𝑒𝑐𝑢𝑝𝑒𝑟𝑎𝑑𝑎) (100)</a:t>
          </a:r>
          <a:endParaRPr lang="es-MX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17</xdr:row>
      <xdr:rowOff>600075</xdr:rowOff>
    </xdr:to>
    <xdr:sp macro="" textlink="">
      <xdr:nvSpPr>
        <xdr:cNvPr id="512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17</xdr:row>
      <xdr:rowOff>600075</xdr:rowOff>
    </xdr:to>
    <xdr:sp macro="" textlink="">
      <xdr:nvSpPr>
        <xdr:cNvPr id="5122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17</xdr:row>
      <xdr:rowOff>600075</xdr:rowOff>
    </xdr:to>
    <xdr:sp macro="" textlink="">
      <xdr:nvSpPr>
        <xdr:cNvPr id="2" name="AutoShape 4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17</xdr:row>
      <xdr:rowOff>600075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17</xdr:row>
      <xdr:rowOff>600075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0" y="0"/>
          <a:ext cx="9705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38100</xdr:colOff>
      <xdr:row>17</xdr:row>
      <xdr:rowOff>600075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705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zoomScale="60" zoomScaleNormal="60" workbookViewId="0">
      <selection activeCell="A2" sqref="A2"/>
    </sheetView>
  </sheetViews>
  <sheetFormatPr baseColWidth="10" defaultColWidth="10.7109375" defaultRowHeight="15" x14ac:dyDescent="0.25"/>
  <cols>
    <col min="1" max="1" width="8.5703125" customWidth="1"/>
    <col min="2" max="2" width="17.28515625" customWidth="1"/>
    <col min="3" max="3" width="30" customWidth="1"/>
    <col min="4" max="4" width="7" customWidth="1"/>
    <col min="5" max="7" width="2.5703125" customWidth="1"/>
    <col min="8" max="8" width="9.85546875" customWidth="1"/>
    <col min="9" max="9" width="9.140625" customWidth="1"/>
    <col min="10" max="10" width="7.140625" customWidth="1"/>
    <col min="11" max="13" width="7.140625" hidden="1" customWidth="1"/>
    <col min="14" max="14" width="8.5703125" customWidth="1"/>
    <col min="15" max="15" width="8.28515625" customWidth="1"/>
    <col min="16" max="17" width="8.5703125" customWidth="1"/>
    <col min="18" max="18" width="9" customWidth="1"/>
  </cols>
  <sheetData>
    <row r="1" spans="1:18" ht="74.25" customHeight="1" x14ac:dyDescent="0.25">
      <c r="C1" s="81" t="s">
        <v>0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22.5" customHeight="1" x14ac:dyDescent="0.25">
      <c r="A2" s="82" t="s">
        <v>1</v>
      </c>
      <c r="B2" s="82"/>
      <c r="C2" s="82"/>
      <c r="D2" s="82" t="s">
        <v>2</v>
      </c>
      <c r="E2" s="83" t="s">
        <v>3</v>
      </c>
      <c r="F2" s="83"/>
      <c r="G2" s="83"/>
      <c r="H2" s="82" t="s">
        <v>4</v>
      </c>
      <c r="I2" s="82" t="s">
        <v>5</v>
      </c>
      <c r="J2" s="82"/>
      <c r="K2" s="82"/>
      <c r="L2" s="82"/>
      <c r="M2" s="82"/>
      <c r="N2" s="82"/>
      <c r="O2" s="82" t="s">
        <v>6</v>
      </c>
      <c r="P2" s="82"/>
      <c r="Q2" s="82" t="s">
        <v>7</v>
      </c>
      <c r="R2" s="82"/>
    </row>
    <row r="3" spans="1:18" ht="63.75" x14ac:dyDescent="0.25">
      <c r="A3" s="1" t="s">
        <v>8</v>
      </c>
      <c r="B3" s="1" t="s">
        <v>9</v>
      </c>
      <c r="C3" s="1" t="s">
        <v>10</v>
      </c>
      <c r="D3" s="82"/>
      <c r="E3" s="2" t="s">
        <v>11</v>
      </c>
      <c r="F3" s="2" t="s">
        <v>12</v>
      </c>
      <c r="G3" s="2" t="s">
        <v>13</v>
      </c>
      <c r="H3" s="82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</row>
    <row r="4" spans="1:18" ht="24" customHeight="1" x14ac:dyDescent="0.25">
      <c r="A4" s="3" t="s">
        <v>24</v>
      </c>
      <c r="B4" s="4" t="s">
        <v>25</v>
      </c>
      <c r="C4" s="5"/>
      <c r="D4" s="3" t="s">
        <v>26</v>
      </c>
      <c r="E4" s="3" t="s">
        <v>27</v>
      </c>
      <c r="F4" s="3"/>
      <c r="G4" s="3"/>
      <c r="H4" s="3" t="s">
        <v>28</v>
      </c>
      <c r="I4" s="6">
        <f>20/20</f>
        <v>1</v>
      </c>
      <c r="J4" s="6">
        <f>0/20</f>
        <v>0</v>
      </c>
      <c r="K4" s="6">
        <f>0/20</f>
        <v>0</v>
      </c>
      <c r="L4" s="6">
        <f>0/20</f>
        <v>0</v>
      </c>
      <c r="M4" s="6">
        <f>0/20</f>
        <v>0</v>
      </c>
      <c r="N4" s="7">
        <f>0/20</f>
        <v>0</v>
      </c>
      <c r="O4" s="3"/>
      <c r="P4" s="3"/>
      <c r="Q4" s="8">
        <f t="shared" ref="Q4:Q19" si="0">J4/I4</f>
        <v>0</v>
      </c>
      <c r="R4" s="3"/>
    </row>
    <row r="5" spans="1:18" ht="25.5" x14ac:dyDescent="0.25">
      <c r="A5" s="3" t="s">
        <v>24</v>
      </c>
      <c r="B5" s="4" t="s">
        <v>29</v>
      </c>
      <c r="C5" s="5"/>
      <c r="D5" s="3" t="s">
        <v>30</v>
      </c>
      <c r="E5" s="3"/>
      <c r="F5" s="3"/>
      <c r="G5" s="3" t="s">
        <v>27</v>
      </c>
      <c r="H5" s="3" t="s">
        <v>28</v>
      </c>
      <c r="I5" s="6">
        <f>37112/(9278*5)</f>
        <v>0.8</v>
      </c>
      <c r="J5" s="6">
        <f>0/46390</f>
        <v>0</v>
      </c>
      <c r="K5" s="6">
        <f>0/46390</f>
        <v>0</v>
      </c>
      <c r="L5" s="6">
        <f>0/46390</f>
        <v>0</v>
      </c>
      <c r="M5" s="6">
        <f>0/46390</f>
        <v>0</v>
      </c>
      <c r="N5" s="7">
        <f>0/46390</f>
        <v>0</v>
      </c>
      <c r="O5" s="3"/>
      <c r="P5" s="3"/>
      <c r="Q5" s="8">
        <f t="shared" si="0"/>
        <v>0</v>
      </c>
      <c r="R5" s="3"/>
    </row>
    <row r="6" spans="1:18" ht="24" customHeight="1" x14ac:dyDescent="0.25">
      <c r="A6" s="3" t="s">
        <v>31</v>
      </c>
      <c r="B6" s="3" t="s">
        <v>32</v>
      </c>
      <c r="C6" s="9"/>
      <c r="D6" s="3" t="s">
        <v>30</v>
      </c>
      <c r="E6" s="3" t="s">
        <v>27</v>
      </c>
      <c r="F6" s="3"/>
      <c r="G6" s="3"/>
      <c r="H6" s="3" t="s">
        <v>28</v>
      </c>
      <c r="I6" s="6">
        <f>168/168</f>
        <v>1</v>
      </c>
      <c r="J6" s="6">
        <f>0/168</f>
        <v>0</v>
      </c>
      <c r="K6" s="6">
        <f>0/168</f>
        <v>0</v>
      </c>
      <c r="L6" s="6">
        <f>0/168</f>
        <v>0</v>
      </c>
      <c r="M6" s="6">
        <f>0/168</f>
        <v>0</v>
      </c>
      <c r="N6" s="7">
        <f>0/168</f>
        <v>0</v>
      </c>
      <c r="O6" s="9"/>
      <c r="P6" s="9"/>
      <c r="Q6" s="8">
        <f t="shared" si="0"/>
        <v>0</v>
      </c>
      <c r="R6" s="9"/>
    </row>
    <row r="7" spans="1:18" ht="38.25" x14ac:dyDescent="0.25">
      <c r="A7" s="3" t="s">
        <v>33</v>
      </c>
      <c r="B7" s="3" t="s">
        <v>34</v>
      </c>
      <c r="C7" s="4" t="s">
        <v>35</v>
      </c>
      <c r="D7" s="4" t="s">
        <v>26</v>
      </c>
      <c r="E7" s="4"/>
      <c r="F7" s="4" t="s">
        <v>27</v>
      </c>
      <c r="G7" s="4"/>
      <c r="H7" s="3" t="s">
        <v>36</v>
      </c>
      <c r="I7" s="3">
        <f>340+15</f>
        <v>355</v>
      </c>
      <c r="J7" s="3">
        <f>0+2</f>
        <v>2</v>
      </c>
      <c r="K7" s="3">
        <f>5+0</f>
        <v>5</v>
      </c>
      <c r="L7" s="3">
        <f>21+4</f>
        <v>25</v>
      </c>
      <c r="M7" s="3">
        <f>12+1</f>
        <v>13</v>
      </c>
      <c r="N7" s="10">
        <f>SUM(J7)</f>
        <v>2</v>
      </c>
      <c r="O7" s="3"/>
      <c r="P7" s="3"/>
      <c r="Q7" s="8">
        <f t="shared" si="0"/>
        <v>5.6338028169014088E-3</v>
      </c>
      <c r="R7" s="3"/>
    </row>
    <row r="8" spans="1:18" ht="25.5" x14ac:dyDescent="0.25">
      <c r="A8" s="11" t="s">
        <v>37</v>
      </c>
      <c r="B8" s="12" t="s">
        <v>38</v>
      </c>
      <c r="C8" s="13" t="s">
        <v>39</v>
      </c>
      <c r="D8" s="13" t="s">
        <v>26</v>
      </c>
      <c r="E8" s="13" t="s">
        <v>27</v>
      </c>
      <c r="F8" s="14"/>
      <c r="G8" s="14"/>
      <c r="H8" s="13" t="s">
        <v>40</v>
      </c>
      <c r="I8" s="13">
        <v>40</v>
      </c>
      <c r="J8" s="14">
        <v>1</v>
      </c>
      <c r="K8" s="14">
        <v>1</v>
      </c>
      <c r="L8" s="14">
        <v>2</v>
      </c>
      <c r="M8" s="14">
        <v>0</v>
      </c>
      <c r="N8" s="10">
        <f>SUM(J8)</f>
        <v>1</v>
      </c>
      <c r="O8" s="3"/>
      <c r="P8" s="3"/>
      <c r="Q8" s="8">
        <f t="shared" si="0"/>
        <v>2.5000000000000001E-2</v>
      </c>
      <c r="R8" s="3"/>
    </row>
    <row r="9" spans="1:18" ht="25.5" x14ac:dyDescent="0.25">
      <c r="A9" s="11" t="s">
        <v>37</v>
      </c>
      <c r="B9" s="12" t="s">
        <v>41</v>
      </c>
      <c r="C9" s="13" t="s">
        <v>42</v>
      </c>
      <c r="D9" s="13" t="s">
        <v>26</v>
      </c>
      <c r="E9" s="13" t="s">
        <v>27</v>
      </c>
      <c r="F9" s="14"/>
      <c r="G9" s="14"/>
      <c r="H9" s="13" t="s">
        <v>43</v>
      </c>
      <c r="I9" s="13">
        <v>12</v>
      </c>
      <c r="J9" s="14">
        <v>4</v>
      </c>
      <c r="K9" s="14">
        <v>4</v>
      </c>
      <c r="L9" s="14">
        <v>4</v>
      </c>
      <c r="M9" s="14">
        <v>4</v>
      </c>
      <c r="N9" s="10">
        <f>SUM(J9)</f>
        <v>4</v>
      </c>
      <c r="O9" s="3"/>
      <c r="P9" s="3"/>
      <c r="Q9" s="8">
        <f t="shared" si="0"/>
        <v>0.33333333333333331</v>
      </c>
      <c r="R9" s="3"/>
    </row>
    <row r="10" spans="1:18" ht="25.5" x14ac:dyDescent="0.25">
      <c r="A10" s="3" t="s">
        <v>44</v>
      </c>
      <c r="B10" s="3" t="s">
        <v>45</v>
      </c>
      <c r="C10" s="4" t="s">
        <v>46</v>
      </c>
      <c r="D10" s="4" t="s">
        <v>26</v>
      </c>
      <c r="E10" s="4"/>
      <c r="F10" s="4" t="s">
        <v>27</v>
      </c>
      <c r="G10" s="4"/>
      <c r="H10" s="3" t="s">
        <v>47</v>
      </c>
      <c r="I10" s="15">
        <v>7200000</v>
      </c>
      <c r="J10" s="15">
        <v>930167</v>
      </c>
      <c r="K10" s="15">
        <v>948370</v>
      </c>
      <c r="L10" s="15">
        <v>951964</v>
      </c>
      <c r="M10" s="15">
        <v>1008089</v>
      </c>
      <c r="N10" s="16">
        <f>SUM(J10)</f>
        <v>930167</v>
      </c>
      <c r="O10" s="3"/>
      <c r="P10" s="3"/>
      <c r="Q10" s="8">
        <f t="shared" si="0"/>
        <v>0.12918986111111111</v>
      </c>
      <c r="R10" s="3"/>
    </row>
    <row r="11" spans="1:18" ht="25.5" x14ac:dyDescent="0.25">
      <c r="A11" s="3" t="s">
        <v>48</v>
      </c>
      <c r="B11" s="3" t="s">
        <v>49</v>
      </c>
      <c r="C11" s="3"/>
      <c r="D11" s="3" t="s">
        <v>30</v>
      </c>
      <c r="E11" s="3" t="s">
        <v>27</v>
      </c>
      <c r="F11" s="3"/>
      <c r="G11" s="3"/>
      <c r="H11" s="17" t="s">
        <v>28</v>
      </c>
      <c r="I11" s="6">
        <f>90/100</f>
        <v>0.9</v>
      </c>
      <c r="J11" s="6">
        <f>2/2</f>
        <v>1</v>
      </c>
      <c r="K11" s="6">
        <f>1/1</f>
        <v>1</v>
      </c>
      <c r="L11" s="6">
        <f>3/3</f>
        <v>1</v>
      </c>
      <c r="M11" s="6">
        <f>4/4</f>
        <v>1</v>
      </c>
      <c r="N11" s="7">
        <f>2/2</f>
        <v>1</v>
      </c>
      <c r="O11" s="3"/>
      <c r="P11" s="3"/>
      <c r="Q11" s="8">
        <f t="shared" si="0"/>
        <v>1.1111111111111112</v>
      </c>
      <c r="R11" s="3"/>
    </row>
    <row r="12" spans="1:18" ht="24.75" customHeight="1" x14ac:dyDescent="0.25">
      <c r="A12" s="3" t="s">
        <v>48</v>
      </c>
      <c r="B12" s="3" t="s">
        <v>50</v>
      </c>
      <c r="C12" s="9"/>
      <c r="D12" s="3" t="s">
        <v>30</v>
      </c>
      <c r="E12" s="3" t="s">
        <v>27</v>
      </c>
      <c r="F12" s="3"/>
      <c r="G12" s="3"/>
      <c r="H12" s="3" t="s">
        <v>28</v>
      </c>
      <c r="I12" s="6">
        <f>90/100</f>
        <v>0.9</v>
      </c>
      <c r="J12" s="6">
        <v>1</v>
      </c>
      <c r="K12" s="3">
        <v>100</v>
      </c>
      <c r="L12" s="3">
        <v>100</v>
      </c>
      <c r="M12" s="3">
        <v>100</v>
      </c>
      <c r="N12" s="18">
        <f>AVERAGE(J12)</f>
        <v>1</v>
      </c>
      <c r="O12" s="3"/>
      <c r="P12" s="3"/>
      <c r="Q12" s="8">
        <f t="shared" si="0"/>
        <v>1.1111111111111112</v>
      </c>
      <c r="R12" s="3"/>
    </row>
    <row r="13" spans="1:18" ht="25.5" x14ac:dyDescent="0.25">
      <c r="A13" s="3" t="s">
        <v>51</v>
      </c>
      <c r="B13" s="3" t="s">
        <v>52</v>
      </c>
      <c r="C13" s="3"/>
      <c r="D13" s="3" t="s">
        <v>30</v>
      </c>
      <c r="E13" s="3" t="s">
        <v>27</v>
      </c>
      <c r="F13" s="3"/>
      <c r="G13" s="3"/>
      <c r="H13" s="3" t="s">
        <v>28</v>
      </c>
      <c r="I13" s="6">
        <f>90/100</f>
        <v>0.9</v>
      </c>
      <c r="J13" s="19">
        <f>46/48</f>
        <v>0.95833333333333337</v>
      </c>
      <c r="K13" s="19">
        <f>51/53</f>
        <v>0.96226415094339623</v>
      </c>
      <c r="L13" s="20">
        <f>96/97</f>
        <v>0.98969072164948457</v>
      </c>
      <c r="M13" s="6">
        <f>42/42</f>
        <v>1</v>
      </c>
      <c r="N13" s="21">
        <f>(46)/(48)</f>
        <v>0.95833333333333337</v>
      </c>
      <c r="O13" s="3"/>
      <c r="P13" s="3"/>
      <c r="Q13" s="8">
        <f t="shared" si="0"/>
        <v>1.0648148148148149</v>
      </c>
      <c r="R13" s="3"/>
    </row>
    <row r="14" spans="1:18" ht="25.5" x14ac:dyDescent="0.25">
      <c r="A14" s="3" t="s">
        <v>53</v>
      </c>
      <c r="B14" s="3" t="s">
        <v>54</v>
      </c>
      <c r="C14" s="3"/>
      <c r="D14" s="3" t="s">
        <v>26</v>
      </c>
      <c r="E14" s="3" t="s">
        <v>27</v>
      </c>
      <c r="F14" s="3"/>
      <c r="G14" s="3"/>
      <c r="H14" s="3" t="s">
        <v>28</v>
      </c>
      <c r="I14" s="6">
        <f>95/100</f>
        <v>0.95</v>
      </c>
      <c r="J14" s="6">
        <f>0/100</f>
        <v>0</v>
      </c>
      <c r="K14" s="6">
        <f>0/100</f>
        <v>0</v>
      </c>
      <c r="L14" s="6">
        <f>0/100</f>
        <v>0</v>
      </c>
      <c r="M14" s="6">
        <f>0/100</f>
        <v>0</v>
      </c>
      <c r="N14" s="7">
        <f>AVERAGE(J14)</f>
        <v>0</v>
      </c>
      <c r="O14" s="3"/>
      <c r="P14" s="3"/>
      <c r="Q14" s="8">
        <f t="shared" si="0"/>
        <v>0</v>
      </c>
      <c r="R14" s="3"/>
    </row>
    <row r="15" spans="1:18" ht="24.75" customHeight="1" x14ac:dyDescent="0.25">
      <c r="A15" s="3" t="s">
        <v>53</v>
      </c>
      <c r="B15" s="3" t="s">
        <v>55</v>
      </c>
      <c r="C15" s="3"/>
      <c r="D15" s="3" t="s">
        <v>30</v>
      </c>
      <c r="E15" s="3" t="s">
        <v>27</v>
      </c>
      <c r="F15" s="3"/>
      <c r="G15" s="3"/>
      <c r="H15" s="3" t="s">
        <v>28</v>
      </c>
      <c r="I15" s="6">
        <f>90/100</f>
        <v>0.9</v>
      </c>
      <c r="J15" s="6">
        <f>9/9</f>
        <v>1</v>
      </c>
      <c r="K15" s="6">
        <f>5/6</f>
        <v>0.83333333333333337</v>
      </c>
      <c r="L15" s="6">
        <f>4/4</f>
        <v>1</v>
      </c>
      <c r="M15" s="3">
        <v>0</v>
      </c>
      <c r="N15" s="6">
        <f>9/9</f>
        <v>1</v>
      </c>
      <c r="P15" s="3"/>
      <c r="Q15" s="8">
        <f t="shared" si="0"/>
        <v>1.1111111111111112</v>
      </c>
      <c r="R15" s="3"/>
    </row>
    <row r="16" spans="1:18" ht="24" customHeight="1" x14ac:dyDescent="0.25">
      <c r="A16" s="3" t="s">
        <v>53</v>
      </c>
      <c r="B16" s="3" t="s">
        <v>56</v>
      </c>
      <c r="C16" s="3"/>
      <c r="D16" s="3" t="s">
        <v>30</v>
      </c>
      <c r="E16" s="3" t="s">
        <v>27</v>
      </c>
      <c r="F16" s="3"/>
      <c r="G16" s="3"/>
      <c r="H16" s="3" t="s">
        <v>28</v>
      </c>
      <c r="I16" s="6">
        <f>95/100</f>
        <v>0.95</v>
      </c>
      <c r="J16" s="6">
        <f>2/1</f>
        <v>2</v>
      </c>
      <c r="K16" s="6">
        <f>0/1</f>
        <v>0</v>
      </c>
      <c r="L16" s="6">
        <f>4/4</f>
        <v>1</v>
      </c>
      <c r="M16" s="6">
        <v>0</v>
      </c>
      <c r="N16" s="6">
        <f>2/1</f>
        <v>2</v>
      </c>
      <c r="O16" s="3"/>
      <c r="P16" s="3"/>
      <c r="Q16" s="8">
        <f t="shared" si="0"/>
        <v>2.1052631578947367</v>
      </c>
      <c r="R16" s="3"/>
    </row>
    <row r="17" spans="1:18" ht="24" customHeight="1" x14ac:dyDescent="0.25">
      <c r="A17" s="3" t="s">
        <v>57</v>
      </c>
      <c r="B17" s="3" t="s">
        <v>58</v>
      </c>
      <c r="C17" s="3"/>
      <c r="D17" s="3" t="s">
        <v>30</v>
      </c>
      <c r="E17" s="3" t="s">
        <v>27</v>
      </c>
      <c r="F17" s="3"/>
      <c r="G17" s="3"/>
      <c r="H17" s="3" t="s">
        <v>28</v>
      </c>
      <c r="I17" s="6">
        <f>85/100</f>
        <v>0.85</v>
      </c>
      <c r="J17" s="22">
        <v>1</v>
      </c>
      <c r="K17" s="23">
        <v>100</v>
      </c>
      <c r="L17" s="23">
        <v>100</v>
      </c>
      <c r="M17" s="23">
        <v>100</v>
      </c>
      <c r="N17" s="7">
        <f>33/33</f>
        <v>1</v>
      </c>
      <c r="O17" s="3"/>
      <c r="P17" s="3"/>
      <c r="Q17" s="8">
        <f t="shared" si="0"/>
        <v>1.1764705882352942</v>
      </c>
      <c r="R17" s="3"/>
    </row>
    <row r="18" spans="1:18" ht="25.5" x14ac:dyDescent="0.25">
      <c r="A18" s="3" t="s">
        <v>57</v>
      </c>
      <c r="B18" s="3" t="s">
        <v>59</v>
      </c>
      <c r="C18" s="3"/>
      <c r="D18" s="3" t="s">
        <v>30</v>
      </c>
      <c r="E18" s="3" t="s">
        <v>27</v>
      </c>
      <c r="F18" s="3"/>
      <c r="G18" s="3"/>
      <c r="H18" s="3" t="s">
        <v>28</v>
      </c>
      <c r="I18" s="6">
        <f>90/100</f>
        <v>0.9</v>
      </c>
      <c r="J18" s="22">
        <v>1</v>
      </c>
      <c r="K18" s="23">
        <v>100</v>
      </c>
      <c r="L18" s="23">
        <v>100</v>
      </c>
      <c r="M18" s="23">
        <v>100</v>
      </c>
      <c r="N18" s="7">
        <f>46/46</f>
        <v>1</v>
      </c>
      <c r="O18" s="3"/>
      <c r="P18" s="3"/>
      <c r="Q18" s="8">
        <f t="shared" si="0"/>
        <v>1.1111111111111112</v>
      </c>
      <c r="R18" s="3"/>
    </row>
    <row r="19" spans="1:18" ht="25.5" x14ac:dyDescent="0.25">
      <c r="A19" s="3" t="s">
        <v>60</v>
      </c>
      <c r="B19" s="3" t="s">
        <v>61</v>
      </c>
      <c r="C19" s="3" t="s">
        <v>62</v>
      </c>
      <c r="D19" s="3" t="s">
        <v>30</v>
      </c>
      <c r="E19" s="3" t="s">
        <v>27</v>
      </c>
      <c r="F19" s="3"/>
      <c r="G19" s="3"/>
      <c r="H19" s="3" t="s">
        <v>63</v>
      </c>
      <c r="I19" s="3">
        <v>12</v>
      </c>
      <c r="J19" s="3">
        <v>1</v>
      </c>
      <c r="K19" s="3">
        <v>1</v>
      </c>
      <c r="L19" s="3">
        <v>1</v>
      </c>
      <c r="M19" s="3">
        <v>1</v>
      </c>
      <c r="N19" s="10">
        <v>1</v>
      </c>
      <c r="O19" s="3"/>
      <c r="P19" s="3"/>
      <c r="Q19" s="8">
        <f t="shared" si="0"/>
        <v>8.3333333333333329E-2</v>
      </c>
      <c r="R19" s="3"/>
    </row>
    <row r="20" spans="1:18" x14ac:dyDescent="0.25">
      <c r="J20" s="24"/>
      <c r="K20" s="24"/>
      <c r="L20" s="24"/>
      <c r="M20" s="24"/>
    </row>
  </sheetData>
  <mergeCells count="8">
    <mergeCell ref="C1:R1"/>
    <mergeCell ref="A2:C2"/>
    <mergeCell ref="D2:D3"/>
    <mergeCell ref="E2:G2"/>
    <mergeCell ref="H2:H3"/>
    <mergeCell ref="I2:N2"/>
    <mergeCell ref="O2:P2"/>
    <mergeCell ref="Q2:R2"/>
  </mergeCells>
  <pageMargins left="0.23611111111111099" right="0.23611111111111099" top="0.74861111111111101" bottom="0.74791666666666701" header="0.31527777777777799" footer="0.51180555555555496"/>
  <pageSetup scale="83" firstPageNumber="0" orientation="landscape" horizontalDpi="300" verticalDpi="300"/>
  <headerFooter>
    <oddHeader>&amp;RIndicadores de resultados 2017</oddHead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9"/>
  <sheetViews>
    <sheetView zoomScale="60" zoomScaleNormal="60" workbookViewId="0">
      <selection activeCell="A2" sqref="A2"/>
    </sheetView>
  </sheetViews>
  <sheetFormatPr baseColWidth="10" defaultColWidth="10.7109375" defaultRowHeight="15" x14ac:dyDescent="0.25"/>
  <cols>
    <col min="1" max="1" width="8.5703125" customWidth="1"/>
    <col min="2" max="2" width="17.28515625" customWidth="1"/>
    <col min="3" max="3" width="30" customWidth="1"/>
    <col min="4" max="4" width="7" customWidth="1"/>
    <col min="5" max="7" width="2.5703125" customWidth="1"/>
    <col min="8" max="8" width="9.85546875" customWidth="1"/>
    <col min="9" max="9" width="9.140625" customWidth="1"/>
    <col min="10" max="10" width="7.140625" hidden="1" customWidth="1"/>
    <col min="11" max="11" width="7.140625" customWidth="1"/>
    <col min="12" max="13" width="7.140625" hidden="1" customWidth="1"/>
    <col min="14" max="14" width="8.5703125" customWidth="1"/>
    <col min="15" max="15" width="8.28515625" customWidth="1"/>
    <col min="16" max="17" width="8.5703125" customWidth="1"/>
    <col min="18" max="18" width="9" customWidth="1"/>
  </cols>
  <sheetData>
    <row r="1" spans="1:18" ht="74.25" customHeight="1" x14ac:dyDescent="0.25">
      <c r="C1" s="81" t="s">
        <v>64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22.5" customHeight="1" x14ac:dyDescent="0.25">
      <c r="A2" s="82" t="s">
        <v>1</v>
      </c>
      <c r="B2" s="82"/>
      <c r="C2" s="82"/>
      <c r="D2" s="82" t="s">
        <v>2</v>
      </c>
      <c r="E2" s="83" t="s">
        <v>3</v>
      </c>
      <c r="F2" s="83"/>
      <c r="G2" s="83"/>
      <c r="H2" s="82" t="s">
        <v>4</v>
      </c>
      <c r="I2" s="82" t="s">
        <v>5</v>
      </c>
      <c r="J2" s="82"/>
      <c r="K2" s="82"/>
      <c r="L2" s="82"/>
      <c r="M2" s="82"/>
      <c r="N2" s="82"/>
      <c r="O2" s="82" t="s">
        <v>6</v>
      </c>
      <c r="P2" s="82"/>
      <c r="Q2" s="82" t="s">
        <v>7</v>
      </c>
      <c r="R2" s="82"/>
    </row>
    <row r="3" spans="1:18" ht="63.75" x14ac:dyDescent="0.25">
      <c r="A3" s="1" t="s">
        <v>8</v>
      </c>
      <c r="B3" s="1" t="s">
        <v>9</v>
      </c>
      <c r="C3" s="1" t="s">
        <v>10</v>
      </c>
      <c r="D3" s="82"/>
      <c r="E3" s="2" t="s">
        <v>11</v>
      </c>
      <c r="F3" s="2" t="s">
        <v>12</v>
      </c>
      <c r="G3" s="2" t="s">
        <v>13</v>
      </c>
      <c r="H3" s="82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</row>
    <row r="4" spans="1:18" ht="24" customHeight="1" x14ac:dyDescent="0.25">
      <c r="A4" s="3" t="s">
        <v>24</v>
      </c>
      <c r="B4" s="4" t="s">
        <v>25</v>
      </c>
      <c r="C4" s="5"/>
      <c r="D4" s="3" t="s">
        <v>26</v>
      </c>
      <c r="E4" s="3" t="s">
        <v>27</v>
      </c>
      <c r="F4" s="3"/>
      <c r="G4" s="3"/>
      <c r="H4" s="3" t="s">
        <v>28</v>
      </c>
      <c r="I4" s="6">
        <f>20/20</f>
        <v>1</v>
      </c>
      <c r="J4" s="6">
        <f>0/20</f>
        <v>0</v>
      </c>
      <c r="K4" s="6">
        <f>0/20</f>
        <v>0</v>
      </c>
      <c r="L4" s="6">
        <f>0/20</f>
        <v>0</v>
      </c>
      <c r="M4" s="6">
        <f>0/20</f>
        <v>0</v>
      </c>
      <c r="N4" s="7">
        <f>0/20</f>
        <v>0</v>
      </c>
      <c r="O4" s="3"/>
      <c r="P4" s="3"/>
      <c r="Q4" s="8">
        <f t="shared" ref="Q4:Q19" si="0">K4/I4</f>
        <v>0</v>
      </c>
      <c r="R4" s="3"/>
    </row>
    <row r="5" spans="1:18" ht="25.5" x14ac:dyDescent="0.25">
      <c r="A5" s="3" t="s">
        <v>24</v>
      </c>
      <c r="B5" s="4" t="s">
        <v>29</v>
      </c>
      <c r="C5" s="5"/>
      <c r="D5" s="3" t="s">
        <v>30</v>
      </c>
      <c r="E5" s="3"/>
      <c r="F5" s="3"/>
      <c r="G5" s="3" t="s">
        <v>27</v>
      </c>
      <c r="H5" s="3" t="s">
        <v>28</v>
      </c>
      <c r="I5" s="6">
        <f>37112/(9278*5)</f>
        <v>0.8</v>
      </c>
      <c r="J5" s="6">
        <f>0/46390</f>
        <v>0</v>
      </c>
      <c r="K5" s="6">
        <f>0/46390</f>
        <v>0</v>
      </c>
      <c r="L5" s="6">
        <f>0/46390</f>
        <v>0</v>
      </c>
      <c r="M5" s="6">
        <f>0/46390</f>
        <v>0</v>
      </c>
      <c r="N5" s="7">
        <f>0/46390</f>
        <v>0</v>
      </c>
      <c r="O5" s="3"/>
      <c r="P5" s="3"/>
      <c r="Q5" s="8">
        <f t="shared" si="0"/>
        <v>0</v>
      </c>
      <c r="R5" s="3"/>
    </row>
    <row r="6" spans="1:18" ht="24" customHeight="1" x14ac:dyDescent="0.25">
      <c r="A6" s="3" t="s">
        <v>31</v>
      </c>
      <c r="B6" s="3" t="s">
        <v>32</v>
      </c>
      <c r="C6" s="9"/>
      <c r="D6" s="3" t="s">
        <v>30</v>
      </c>
      <c r="E6" s="3" t="s">
        <v>27</v>
      </c>
      <c r="F6" s="3"/>
      <c r="G6" s="3"/>
      <c r="H6" s="3" t="s">
        <v>28</v>
      </c>
      <c r="I6" s="6">
        <f>168/168</f>
        <v>1</v>
      </c>
      <c r="J6" s="6">
        <f>0/168</f>
        <v>0</v>
      </c>
      <c r="K6" s="6">
        <f>0/168</f>
        <v>0</v>
      </c>
      <c r="L6" s="6">
        <f>0/168</f>
        <v>0</v>
      </c>
      <c r="M6" s="6">
        <f>0/168</f>
        <v>0</v>
      </c>
      <c r="N6" s="7">
        <f>0/168</f>
        <v>0</v>
      </c>
      <c r="O6" s="9"/>
      <c r="P6" s="9"/>
      <c r="Q6" s="8">
        <f t="shared" si="0"/>
        <v>0</v>
      </c>
      <c r="R6" s="9"/>
    </row>
    <row r="7" spans="1:18" ht="38.25" x14ac:dyDescent="0.25">
      <c r="A7" s="3" t="s">
        <v>33</v>
      </c>
      <c r="B7" s="3" t="s">
        <v>34</v>
      </c>
      <c r="C7" s="4" t="s">
        <v>35</v>
      </c>
      <c r="D7" s="4" t="s">
        <v>26</v>
      </c>
      <c r="E7" s="4"/>
      <c r="F7" s="4" t="s">
        <v>27</v>
      </c>
      <c r="G7" s="4"/>
      <c r="H7" s="3" t="s">
        <v>36</v>
      </c>
      <c r="I7" s="3">
        <f>340+15</f>
        <v>355</v>
      </c>
      <c r="J7" s="3">
        <f>0+2</f>
        <v>2</v>
      </c>
      <c r="K7" s="3">
        <f>5+0</f>
        <v>5</v>
      </c>
      <c r="L7" s="3">
        <f>21+4</f>
        <v>25</v>
      </c>
      <c r="M7" s="3">
        <f>12+1</f>
        <v>13</v>
      </c>
      <c r="N7" s="10">
        <f>SUM(J7:K7)</f>
        <v>7</v>
      </c>
      <c r="O7" s="3"/>
      <c r="P7" s="3"/>
      <c r="Q7" s="8">
        <f t="shared" si="0"/>
        <v>1.4084507042253521E-2</v>
      </c>
      <c r="R7" s="3"/>
    </row>
    <row r="8" spans="1:18" ht="25.5" x14ac:dyDescent="0.25">
      <c r="A8" s="11" t="s">
        <v>37</v>
      </c>
      <c r="B8" s="12" t="s">
        <v>38</v>
      </c>
      <c r="C8" s="13" t="s">
        <v>39</v>
      </c>
      <c r="D8" s="13" t="s">
        <v>26</v>
      </c>
      <c r="E8" s="13" t="s">
        <v>27</v>
      </c>
      <c r="F8" s="14"/>
      <c r="G8" s="14"/>
      <c r="H8" s="13" t="s">
        <v>40</v>
      </c>
      <c r="I8" s="13">
        <v>40</v>
      </c>
      <c r="J8" s="14">
        <v>1</v>
      </c>
      <c r="K8" s="14">
        <v>1</v>
      </c>
      <c r="L8" s="14">
        <v>2</v>
      </c>
      <c r="M8" s="14">
        <v>0</v>
      </c>
      <c r="N8" s="10">
        <f>SUM(J8:K8)</f>
        <v>2</v>
      </c>
      <c r="O8" s="3"/>
      <c r="P8" s="3"/>
      <c r="Q8" s="8">
        <f t="shared" si="0"/>
        <v>2.5000000000000001E-2</v>
      </c>
      <c r="R8" s="3"/>
    </row>
    <row r="9" spans="1:18" ht="25.5" x14ac:dyDescent="0.25">
      <c r="A9" s="11" t="s">
        <v>37</v>
      </c>
      <c r="B9" s="12" t="s">
        <v>41</v>
      </c>
      <c r="C9" s="13" t="s">
        <v>42</v>
      </c>
      <c r="D9" s="13" t="s">
        <v>26</v>
      </c>
      <c r="E9" s="13" t="s">
        <v>27</v>
      </c>
      <c r="F9" s="14"/>
      <c r="G9" s="14"/>
      <c r="H9" s="13" t="s">
        <v>43</v>
      </c>
      <c r="I9" s="13">
        <v>12</v>
      </c>
      <c r="J9" s="14">
        <v>4</v>
      </c>
      <c r="K9" s="14">
        <v>4</v>
      </c>
      <c r="L9" s="14">
        <v>4</v>
      </c>
      <c r="M9" s="14">
        <v>4</v>
      </c>
      <c r="N9" s="10">
        <f>SUM(J9:K9)</f>
        <v>8</v>
      </c>
      <c r="O9" s="3"/>
      <c r="P9" s="3"/>
      <c r="Q9" s="8">
        <f t="shared" si="0"/>
        <v>0.33333333333333331</v>
      </c>
      <c r="R9" s="3"/>
    </row>
    <row r="10" spans="1:18" ht="25.5" x14ac:dyDescent="0.25">
      <c r="A10" s="3" t="s">
        <v>44</v>
      </c>
      <c r="B10" s="3" t="s">
        <v>45</v>
      </c>
      <c r="C10" s="4" t="s">
        <v>46</v>
      </c>
      <c r="D10" s="4" t="s">
        <v>26</v>
      </c>
      <c r="E10" s="4"/>
      <c r="F10" s="4" t="s">
        <v>27</v>
      </c>
      <c r="G10" s="4"/>
      <c r="H10" s="3" t="s">
        <v>47</v>
      </c>
      <c r="I10" s="15">
        <v>7200000</v>
      </c>
      <c r="J10" s="15">
        <v>930167</v>
      </c>
      <c r="K10" s="15">
        <v>948370</v>
      </c>
      <c r="L10" s="15">
        <v>951964</v>
      </c>
      <c r="M10" s="15">
        <v>1008089</v>
      </c>
      <c r="N10" s="16">
        <f>SUM(J10:K10)</f>
        <v>1878537</v>
      </c>
      <c r="O10" s="3"/>
      <c r="P10" s="3"/>
      <c r="Q10" s="8">
        <f t="shared" si="0"/>
        <v>0.13171805555555555</v>
      </c>
      <c r="R10" s="3"/>
    </row>
    <row r="11" spans="1:18" ht="25.5" x14ac:dyDescent="0.25">
      <c r="A11" s="3" t="s">
        <v>48</v>
      </c>
      <c r="B11" s="3" t="s">
        <v>49</v>
      </c>
      <c r="C11" s="3"/>
      <c r="D11" s="3" t="s">
        <v>30</v>
      </c>
      <c r="E11" s="3" t="s">
        <v>27</v>
      </c>
      <c r="F11" s="3"/>
      <c r="G11" s="3"/>
      <c r="H11" s="17" t="s">
        <v>28</v>
      </c>
      <c r="I11" s="6">
        <f>90/100</f>
        <v>0.9</v>
      </c>
      <c r="J11" s="6">
        <f>2/2</f>
        <v>1</v>
      </c>
      <c r="K11" s="6">
        <f>1/1</f>
        <v>1</v>
      </c>
      <c r="L11" s="6">
        <f>3/3</f>
        <v>1</v>
      </c>
      <c r="M11" s="6">
        <f>4/4</f>
        <v>1</v>
      </c>
      <c r="N11" s="7">
        <f>(2+1)/(2+1)</f>
        <v>1</v>
      </c>
      <c r="O11" s="3"/>
      <c r="P11" s="3"/>
      <c r="Q11" s="8">
        <f t="shared" si="0"/>
        <v>1.1111111111111112</v>
      </c>
      <c r="R11" s="3"/>
    </row>
    <row r="12" spans="1:18" ht="24.75" customHeight="1" x14ac:dyDescent="0.25">
      <c r="A12" s="3" t="s">
        <v>48</v>
      </c>
      <c r="B12" s="3" t="s">
        <v>50</v>
      </c>
      <c r="C12" s="9"/>
      <c r="D12" s="3" t="s">
        <v>30</v>
      </c>
      <c r="E12" s="3" t="s">
        <v>27</v>
      </c>
      <c r="F12" s="3"/>
      <c r="G12" s="3"/>
      <c r="H12" s="3" t="s">
        <v>28</v>
      </c>
      <c r="I12" s="6">
        <f>90/100</f>
        <v>0.9</v>
      </c>
      <c r="J12" s="6">
        <v>1</v>
      </c>
      <c r="K12" s="6">
        <v>1</v>
      </c>
      <c r="L12" s="6">
        <v>1</v>
      </c>
      <c r="M12" s="6">
        <v>1</v>
      </c>
      <c r="N12" s="18">
        <f>AVERAGE(J12:K12)</f>
        <v>1</v>
      </c>
      <c r="O12" s="3"/>
      <c r="P12" s="3"/>
      <c r="Q12" s="8">
        <f t="shared" si="0"/>
        <v>1.1111111111111112</v>
      </c>
      <c r="R12" s="3"/>
    </row>
    <row r="13" spans="1:18" ht="25.5" x14ac:dyDescent="0.25">
      <c r="A13" s="3" t="s">
        <v>51</v>
      </c>
      <c r="B13" s="3" t="s">
        <v>52</v>
      </c>
      <c r="C13" s="3"/>
      <c r="D13" s="3" t="s">
        <v>30</v>
      </c>
      <c r="E13" s="3" t="s">
        <v>27</v>
      </c>
      <c r="F13" s="3"/>
      <c r="G13" s="3"/>
      <c r="H13" s="3" t="s">
        <v>28</v>
      </c>
      <c r="I13" s="6">
        <f>90/100</f>
        <v>0.9</v>
      </c>
      <c r="J13" s="19">
        <f>46/48</f>
        <v>0.95833333333333337</v>
      </c>
      <c r="K13" s="19">
        <f>51/53</f>
        <v>0.96226415094339623</v>
      </c>
      <c r="L13" s="20">
        <f>96/97</f>
        <v>0.98969072164948457</v>
      </c>
      <c r="M13" s="6">
        <f>42/42</f>
        <v>1</v>
      </c>
      <c r="N13" s="21">
        <f>(46+51)/(48+53)</f>
        <v>0.96039603960396036</v>
      </c>
      <c r="O13" s="3"/>
      <c r="P13" s="3"/>
      <c r="Q13" s="8">
        <f t="shared" si="0"/>
        <v>1.0691823899371069</v>
      </c>
      <c r="R13" s="3"/>
    </row>
    <row r="14" spans="1:18" ht="25.5" x14ac:dyDescent="0.25">
      <c r="A14" s="3" t="s">
        <v>53</v>
      </c>
      <c r="B14" s="3" t="s">
        <v>54</v>
      </c>
      <c r="C14" s="3"/>
      <c r="D14" s="3" t="s">
        <v>26</v>
      </c>
      <c r="E14" s="3" t="s">
        <v>27</v>
      </c>
      <c r="F14" s="3"/>
      <c r="G14" s="3"/>
      <c r="H14" s="3" t="s">
        <v>28</v>
      </c>
      <c r="I14" s="6">
        <f>95/100</f>
        <v>0.95</v>
      </c>
      <c r="J14" s="6">
        <f>0/100</f>
        <v>0</v>
      </c>
      <c r="K14" s="6">
        <f>0/100</f>
        <v>0</v>
      </c>
      <c r="L14" s="6">
        <f>0/100</f>
        <v>0</v>
      </c>
      <c r="M14" s="6">
        <f>0/100</f>
        <v>0</v>
      </c>
      <c r="N14" s="7">
        <f>AVERAGE(J14:K14)</f>
        <v>0</v>
      </c>
      <c r="O14" s="3"/>
      <c r="P14" s="3"/>
      <c r="Q14" s="8">
        <f t="shared" si="0"/>
        <v>0</v>
      </c>
      <c r="R14" s="3"/>
    </row>
    <row r="15" spans="1:18" ht="24.75" customHeight="1" x14ac:dyDescent="0.25">
      <c r="A15" s="3" t="s">
        <v>53</v>
      </c>
      <c r="B15" s="3" t="s">
        <v>55</v>
      </c>
      <c r="C15" s="3"/>
      <c r="D15" s="3" t="s">
        <v>30</v>
      </c>
      <c r="E15" s="3" t="s">
        <v>27</v>
      </c>
      <c r="F15" s="3"/>
      <c r="G15" s="3"/>
      <c r="H15" s="3" t="s">
        <v>28</v>
      </c>
      <c r="I15" s="6">
        <f>90/100</f>
        <v>0.9</v>
      </c>
      <c r="J15" s="6">
        <f>9/9</f>
        <v>1</v>
      </c>
      <c r="K15" s="6">
        <f>5/6</f>
        <v>0.83333333333333337</v>
      </c>
      <c r="L15" s="6">
        <f>4/4</f>
        <v>1</v>
      </c>
      <c r="M15" s="3">
        <v>0</v>
      </c>
      <c r="N15" s="7">
        <f>(9+5)/(9+6)</f>
        <v>0.93333333333333335</v>
      </c>
      <c r="P15" s="3"/>
      <c r="Q15" s="8">
        <f t="shared" si="0"/>
        <v>0.92592592592592593</v>
      </c>
      <c r="R15" s="3"/>
    </row>
    <row r="16" spans="1:18" ht="24" customHeight="1" x14ac:dyDescent="0.25">
      <c r="A16" s="3" t="s">
        <v>53</v>
      </c>
      <c r="B16" s="3" t="s">
        <v>56</v>
      </c>
      <c r="C16" s="3"/>
      <c r="D16" s="3" t="s">
        <v>30</v>
      </c>
      <c r="E16" s="3" t="s">
        <v>27</v>
      </c>
      <c r="F16" s="3"/>
      <c r="G16" s="3"/>
      <c r="H16" s="3" t="s">
        <v>28</v>
      </c>
      <c r="I16" s="6">
        <f>95/100</f>
        <v>0.95</v>
      </c>
      <c r="J16" s="6">
        <f>2/1</f>
        <v>2</v>
      </c>
      <c r="K16" s="6">
        <f>0/1</f>
        <v>0</v>
      </c>
      <c r="L16" s="6">
        <f>4/4</f>
        <v>1</v>
      </c>
      <c r="M16" s="6">
        <v>0</v>
      </c>
      <c r="N16" s="7">
        <f>(2+0)/(1+1)</f>
        <v>1</v>
      </c>
      <c r="O16" s="3"/>
      <c r="P16" s="3"/>
      <c r="Q16" s="8">
        <f t="shared" si="0"/>
        <v>0</v>
      </c>
      <c r="R16" s="3"/>
    </row>
    <row r="17" spans="1:18" ht="24" customHeight="1" x14ac:dyDescent="0.25">
      <c r="A17" s="3" t="s">
        <v>57</v>
      </c>
      <c r="B17" s="3" t="s">
        <v>58</v>
      </c>
      <c r="C17" s="3"/>
      <c r="D17" s="3" t="s">
        <v>30</v>
      </c>
      <c r="E17" s="3" t="s">
        <v>27</v>
      </c>
      <c r="F17" s="3"/>
      <c r="G17" s="3"/>
      <c r="H17" s="3" t="s">
        <v>28</v>
      </c>
      <c r="I17" s="6">
        <f>85/100</f>
        <v>0.85</v>
      </c>
      <c r="J17" s="22">
        <v>1</v>
      </c>
      <c r="K17" s="22">
        <v>1</v>
      </c>
      <c r="L17" s="22">
        <v>1</v>
      </c>
      <c r="M17" s="22">
        <v>1</v>
      </c>
      <c r="N17" s="7">
        <f>33/33</f>
        <v>1</v>
      </c>
      <c r="O17" s="3"/>
      <c r="P17" s="3"/>
      <c r="Q17" s="8">
        <f t="shared" si="0"/>
        <v>1.1764705882352942</v>
      </c>
      <c r="R17" s="3"/>
    </row>
    <row r="18" spans="1:18" ht="25.5" x14ac:dyDescent="0.25">
      <c r="A18" s="3" t="s">
        <v>57</v>
      </c>
      <c r="B18" s="3" t="s">
        <v>59</v>
      </c>
      <c r="C18" s="3"/>
      <c r="D18" s="3" t="s">
        <v>30</v>
      </c>
      <c r="E18" s="3" t="s">
        <v>27</v>
      </c>
      <c r="F18" s="3"/>
      <c r="G18" s="3"/>
      <c r="H18" s="3" t="s">
        <v>28</v>
      </c>
      <c r="I18" s="6">
        <f>90/100</f>
        <v>0.9</v>
      </c>
      <c r="J18" s="22">
        <v>1</v>
      </c>
      <c r="K18" s="22">
        <v>1</v>
      </c>
      <c r="L18" s="22">
        <v>1</v>
      </c>
      <c r="M18" s="22">
        <v>1</v>
      </c>
      <c r="N18" s="7">
        <f>46/46</f>
        <v>1</v>
      </c>
      <c r="O18" s="3"/>
      <c r="P18" s="3"/>
      <c r="Q18" s="8">
        <f t="shared" si="0"/>
        <v>1.1111111111111112</v>
      </c>
      <c r="R18" s="3"/>
    </row>
    <row r="19" spans="1:18" ht="25.5" x14ac:dyDescent="0.25">
      <c r="A19" s="3" t="s">
        <v>60</v>
      </c>
      <c r="B19" s="3" t="s">
        <v>61</v>
      </c>
      <c r="C19" s="3" t="s">
        <v>62</v>
      </c>
      <c r="D19" s="3" t="s">
        <v>30</v>
      </c>
      <c r="E19" s="3" t="s">
        <v>27</v>
      </c>
      <c r="F19" s="3"/>
      <c r="G19" s="3"/>
      <c r="H19" s="3" t="s">
        <v>63</v>
      </c>
      <c r="I19" s="3">
        <v>12</v>
      </c>
      <c r="J19" s="3">
        <v>1</v>
      </c>
      <c r="K19" s="3">
        <v>1</v>
      </c>
      <c r="L19" s="3">
        <v>1</v>
      </c>
      <c r="M19" s="3">
        <v>1</v>
      </c>
      <c r="N19" s="10">
        <f>SUM(J19:K19)</f>
        <v>2</v>
      </c>
      <c r="O19" s="3"/>
      <c r="P19" s="3"/>
      <c r="Q19" s="8">
        <f t="shared" si="0"/>
        <v>8.3333333333333329E-2</v>
      </c>
      <c r="R19" s="3"/>
    </row>
  </sheetData>
  <mergeCells count="8">
    <mergeCell ref="C1:R1"/>
    <mergeCell ref="A2:C2"/>
    <mergeCell ref="D2:D3"/>
    <mergeCell ref="E2:G2"/>
    <mergeCell ref="H2:H3"/>
    <mergeCell ref="I2:N2"/>
    <mergeCell ref="O2:P2"/>
    <mergeCell ref="Q2:R2"/>
  </mergeCells>
  <pageMargins left="0.23611111111111099" right="0.23611111111111099" top="0.74861111111111101" bottom="0.74791666666666701" header="0.31527777777777799" footer="0.51180555555555496"/>
  <pageSetup scale="83" firstPageNumber="0" orientation="landscape" horizontalDpi="300" verticalDpi="300"/>
  <headerFooter>
    <oddHeader>&amp;RIndicadores de resultados 2017</oddHead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topLeftCell="A2" zoomScale="60" zoomScaleNormal="60" workbookViewId="0">
      <selection activeCell="A2" sqref="A2"/>
    </sheetView>
  </sheetViews>
  <sheetFormatPr baseColWidth="10" defaultColWidth="10.7109375" defaultRowHeight="15" x14ac:dyDescent="0.25"/>
  <cols>
    <col min="1" max="1" width="8.5703125" customWidth="1"/>
    <col min="2" max="2" width="17.28515625" customWidth="1"/>
    <col min="3" max="3" width="30" customWidth="1"/>
    <col min="4" max="4" width="7" customWidth="1"/>
    <col min="5" max="7" width="2.5703125" customWidth="1"/>
    <col min="8" max="8" width="9.85546875" customWidth="1"/>
    <col min="9" max="9" width="9.140625" customWidth="1"/>
    <col min="10" max="11" width="7.140625" hidden="1" customWidth="1"/>
    <col min="12" max="12" width="7.140625" customWidth="1"/>
    <col min="13" max="13" width="7.140625" hidden="1" customWidth="1"/>
    <col min="14" max="14" width="8.5703125" customWidth="1"/>
    <col min="15" max="15" width="8.28515625" customWidth="1"/>
    <col min="16" max="17" width="8.5703125" customWidth="1"/>
    <col min="18" max="18" width="9" customWidth="1"/>
  </cols>
  <sheetData>
    <row r="1" spans="1:18" ht="74.25" customHeight="1" x14ac:dyDescent="0.25">
      <c r="C1" s="81" t="s">
        <v>65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22.5" customHeight="1" x14ac:dyDescent="0.25">
      <c r="A2" s="82" t="s">
        <v>1</v>
      </c>
      <c r="B2" s="82"/>
      <c r="C2" s="82"/>
      <c r="D2" s="82" t="s">
        <v>2</v>
      </c>
      <c r="E2" s="83" t="s">
        <v>3</v>
      </c>
      <c r="F2" s="83"/>
      <c r="G2" s="83"/>
      <c r="H2" s="82" t="s">
        <v>4</v>
      </c>
      <c r="I2" s="82" t="s">
        <v>5</v>
      </c>
      <c r="J2" s="82"/>
      <c r="K2" s="82"/>
      <c r="L2" s="82"/>
      <c r="M2" s="82"/>
      <c r="N2" s="82"/>
      <c r="O2" s="82" t="s">
        <v>6</v>
      </c>
      <c r="P2" s="82"/>
      <c r="Q2" s="82" t="s">
        <v>7</v>
      </c>
      <c r="R2" s="82"/>
    </row>
    <row r="3" spans="1:18" ht="63.75" x14ac:dyDescent="0.25">
      <c r="A3" s="1" t="s">
        <v>8</v>
      </c>
      <c r="B3" s="1" t="s">
        <v>9</v>
      </c>
      <c r="C3" s="1" t="s">
        <v>10</v>
      </c>
      <c r="D3" s="82"/>
      <c r="E3" s="2" t="s">
        <v>11</v>
      </c>
      <c r="F3" s="2" t="s">
        <v>12</v>
      </c>
      <c r="G3" s="2" t="s">
        <v>13</v>
      </c>
      <c r="H3" s="82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</row>
    <row r="4" spans="1:18" ht="24" customHeight="1" x14ac:dyDescent="0.25">
      <c r="A4" s="3" t="s">
        <v>24</v>
      </c>
      <c r="B4" s="4" t="s">
        <v>25</v>
      </c>
      <c r="C4" s="5"/>
      <c r="D4" s="3" t="s">
        <v>26</v>
      </c>
      <c r="E4" s="3" t="s">
        <v>27</v>
      </c>
      <c r="F4" s="3"/>
      <c r="G4" s="3"/>
      <c r="H4" s="3" t="s">
        <v>28</v>
      </c>
      <c r="I4" s="6">
        <f>20/20</f>
        <v>1</v>
      </c>
      <c r="J4" s="6">
        <f>0/20</f>
        <v>0</v>
      </c>
      <c r="K4" s="6">
        <f>0/20</f>
        <v>0</v>
      </c>
      <c r="L4" s="6">
        <f>0/20</f>
        <v>0</v>
      </c>
      <c r="M4" s="6">
        <f>0/20</f>
        <v>0</v>
      </c>
      <c r="N4" s="7">
        <f>0/20</f>
        <v>0</v>
      </c>
      <c r="O4" s="3"/>
      <c r="P4" s="3"/>
      <c r="Q4" s="8">
        <f t="shared" ref="Q4:Q19" si="0">L4/I4</f>
        <v>0</v>
      </c>
      <c r="R4" s="3"/>
    </row>
    <row r="5" spans="1:18" ht="25.5" x14ac:dyDescent="0.25">
      <c r="A5" s="3" t="s">
        <v>24</v>
      </c>
      <c r="B5" s="4" t="s">
        <v>29</v>
      </c>
      <c r="C5" s="5"/>
      <c r="D5" s="3" t="s">
        <v>30</v>
      </c>
      <c r="E5" s="3"/>
      <c r="F5" s="3"/>
      <c r="G5" s="3" t="s">
        <v>27</v>
      </c>
      <c r="H5" s="3" t="s">
        <v>28</v>
      </c>
      <c r="I5" s="6">
        <f>37112/(9278*5)</f>
        <v>0.8</v>
      </c>
      <c r="J5" s="6">
        <f>0/46390</f>
        <v>0</v>
      </c>
      <c r="K5" s="6">
        <f>0/46390</f>
        <v>0</v>
      </c>
      <c r="L5" s="6">
        <f>0/46390</f>
        <v>0</v>
      </c>
      <c r="M5" s="6">
        <f>0/46390</f>
        <v>0</v>
      </c>
      <c r="N5" s="7">
        <f>0/46390</f>
        <v>0</v>
      </c>
      <c r="O5" s="3"/>
      <c r="P5" s="3"/>
      <c r="Q5" s="8">
        <f t="shared" si="0"/>
        <v>0</v>
      </c>
      <c r="R5" s="3"/>
    </row>
    <row r="6" spans="1:18" ht="24" customHeight="1" x14ac:dyDescent="0.25">
      <c r="A6" s="3" t="s">
        <v>31</v>
      </c>
      <c r="B6" s="3" t="s">
        <v>32</v>
      </c>
      <c r="C6" s="9"/>
      <c r="D6" s="3" t="s">
        <v>30</v>
      </c>
      <c r="E6" s="3" t="s">
        <v>27</v>
      </c>
      <c r="F6" s="3"/>
      <c r="G6" s="3"/>
      <c r="H6" s="3" t="s">
        <v>28</v>
      </c>
      <c r="I6" s="6">
        <f>168/168</f>
        <v>1</v>
      </c>
      <c r="J6" s="6">
        <f>0/168</f>
        <v>0</v>
      </c>
      <c r="K6" s="6">
        <f>0/168</f>
        <v>0</v>
      </c>
      <c r="L6" s="6">
        <f>0/168</f>
        <v>0</v>
      </c>
      <c r="M6" s="6">
        <f>0/168</f>
        <v>0</v>
      </c>
      <c r="N6" s="7">
        <f>0/168</f>
        <v>0</v>
      </c>
      <c r="O6" s="9"/>
      <c r="P6" s="9"/>
      <c r="Q6" s="8">
        <f t="shared" si="0"/>
        <v>0</v>
      </c>
      <c r="R6" s="9"/>
    </row>
    <row r="7" spans="1:18" ht="38.25" x14ac:dyDescent="0.25">
      <c r="A7" s="3" t="s">
        <v>33</v>
      </c>
      <c r="B7" s="3" t="s">
        <v>34</v>
      </c>
      <c r="C7" s="4" t="s">
        <v>35</v>
      </c>
      <c r="D7" s="4" t="s">
        <v>26</v>
      </c>
      <c r="E7" s="4"/>
      <c r="F7" s="4" t="s">
        <v>27</v>
      </c>
      <c r="G7" s="4"/>
      <c r="H7" s="3" t="s">
        <v>36</v>
      </c>
      <c r="I7" s="3">
        <f>340+15</f>
        <v>355</v>
      </c>
      <c r="J7" s="3">
        <f>0+2</f>
        <v>2</v>
      </c>
      <c r="K7" s="3">
        <f>5+0</f>
        <v>5</v>
      </c>
      <c r="L7" s="3">
        <f>21+4</f>
        <v>25</v>
      </c>
      <c r="M7" s="3">
        <f>12+1</f>
        <v>13</v>
      </c>
      <c r="N7" s="10">
        <f>SUM(J7:L7)</f>
        <v>32</v>
      </c>
      <c r="O7" s="3"/>
      <c r="P7" s="3"/>
      <c r="Q7" s="8">
        <f t="shared" si="0"/>
        <v>7.0422535211267609E-2</v>
      </c>
      <c r="R7" s="3"/>
    </row>
    <row r="8" spans="1:18" ht="25.5" x14ac:dyDescent="0.25">
      <c r="A8" s="11" t="s">
        <v>37</v>
      </c>
      <c r="B8" s="12" t="s">
        <v>38</v>
      </c>
      <c r="C8" s="13" t="s">
        <v>39</v>
      </c>
      <c r="D8" s="13" t="s">
        <v>26</v>
      </c>
      <c r="E8" s="13" t="s">
        <v>27</v>
      </c>
      <c r="F8" s="14"/>
      <c r="G8" s="14"/>
      <c r="H8" s="13" t="s">
        <v>40</v>
      </c>
      <c r="I8" s="13">
        <v>40</v>
      </c>
      <c r="J8" s="14">
        <v>1</v>
      </c>
      <c r="K8" s="14">
        <v>1</v>
      </c>
      <c r="L8" s="14">
        <v>2</v>
      </c>
      <c r="M8" s="14">
        <v>0</v>
      </c>
      <c r="N8" s="10">
        <f>SUM(J8:L8)</f>
        <v>4</v>
      </c>
      <c r="O8" s="3"/>
      <c r="P8" s="3"/>
      <c r="Q8" s="8">
        <f t="shared" si="0"/>
        <v>0.05</v>
      </c>
      <c r="R8" s="3"/>
    </row>
    <row r="9" spans="1:18" ht="25.5" x14ac:dyDescent="0.25">
      <c r="A9" s="11" t="s">
        <v>37</v>
      </c>
      <c r="B9" s="12" t="s">
        <v>41</v>
      </c>
      <c r="C9" s="13" t="s">
        <v>42</v>
      </c>
      <c r="D9" s="13" t="s">
        <v>26</v>
      </c>
      <c r="E9" s="13" t="s">
        <v>27</v>
      </c>
      <c r="F9" s="14"/>
      <c r="G9" s="14"/>
      <c r="H9" s="13" t="s">
        <v>43</v>
      </c>
      <c r="I9" s="13">
        <v>12</v>
      </c>
      <c r="J9" s="14">
        <v>4</v>
      </c>
      <c r="K9" s="14">
        <v>4</v>
      </c>
      <c r="L9" s="14">
        <v>4</v>
      </c>
      <c r="M9" s="14">
        <v>4</v>
      </c>
      <c r="N9" s="10">
        <f>SUM(J9:L9)</f>
        <v>12</v>
      </c>
      <c r="O9" s="3"/>
      <c r="P9" s="3"/>
      <c r="Q9" s="8">
        <f t="shared" si="0"/>
        <v>0.33333333333333331</v>
      </c>
      <c r="R9" s="3"/>
    </row>
    <row r="10" spans="1:18" ht="25.5" x14ac:dyDescent="0.25">
      <c r="A10" s="3" t="s">
        <v>44</v>
      </c>
      <c r="B10" s="3" t="s">
        <v>45</v>
      </c>
      <c r="C10" s="4" t="s">
        <v>46</v>
      </c>
      <c r="D10" s="4" t="s">
        <v>26</v>
      </c>
      <c r="E10" s="4"/>
      <c r="F10" s="4" t="s">
        <v>27</v>
      </c>
      <c r="G10" s="4"/>
      <c r="H10" s="3" t="s">
        <v>47</v>
      </c>
      <c r="I10" s="15">
        <v>7200000</v>
      </c>
      <c r="J10" s="15">
        <v>930167</v>
      </c>
      <c r="K10" s="15">
        <v>948370</v>
      </c>
      <c r="L10" s="15">
        <v>951964</v>
      </c>
      <c r="M10" s="15">
        <v>1008089</v>
      </c>
      <c r="N10" s="16">
        <f>SUM(J10:L10)</f>
        <v>2830501</v>
      </c>
      <c r="O10" s="3"/>
      <c r="P10" s="3"/>
      <c r="Q10" s="8">
        <f t="shared" si="0"/>
        <v>0.13221722222222224</v>
      </c>
      <c r="R10" s="3"/>
    </row>
    <row r="11" spans="1:18" ht="25.5" x14ac:dyDescent="0.25">
      <c r="A11" s="3" t="s">
        <v>48</v>
      </c>
      <c r="B11" s="3" t="s">
        <v>49</v>
      </c>
      <c r="C11" s="3"/>
      <c r="D11" s="3" t="s">
        <v>30</v>
      </c>
      <c r="E11" s="3" t="s">
        <v>27</v>
      </c>
      <c r="F11" s="3"/>
      <c r="G11" s="3"/>
      <c r="H11" s="17" t="s">
        <v>28</v>
      </c>
      <c r="I11" s="6">
        <f>90/100</f>
        <v>0.9</v>
      </c>
      <c r="J11" s="6">
        <f>2/2</f>
        <v>1</v>
      </c>
      <c r="K11" s="6">
        <f>1/1</f>
        <v>1</v>
      </c>
      <c r="L11" s="6">
        <f>3/3</f>
        <v>1</v>
      </c>
      <c r="M11" s="6">
        <f>4/4</f>
        <v>1</v>
      </c>
      <c r="N11" s="7">
        <f>(2+1+3)/(2+1+3)</f>
        <v>1</v>
      </c>
      <c r="O11" s="3"/>
      <c r="P11" s="3"/>
      <c r="Q11" s="8">
        <f t="shared" si="0"/>
        <v>1.1111111111111112</v>
      </c>
      <c r="R11" s="3"/>
    </row>
    <row r="12" spans="1:18" ht="24.75" customHeight="1" x14ac:dyDescent="0.25">
      <c r="A12" s="3" t="s">
        <v>48</v>
      </c>
      <c r="B12" s="3" t="s">
        <v>50</v>
      </c>
      <c r="C12" s="9"/>
      <c r="D12" s="3" t="s">
        <v>30</v>
      </c>
      <c r="E12" s="3" t="s">
        <v>27</v>
      </c>
      <c r="F12" s="3"/>
      <c r="G12" s="3"/>
      <c r="H12" s="3" t="s">
        <v>28</v>
      </c>
      <c r="I12" s="6">
        <f>90/100</f>
        <v>0.9</v>
      </c>
      <c r="J12" s="6">
        <v>1</v>
      </c>
      <c r="K12" s="6">
        <v>1</v>
      </c>
      <c r="L12" s="6">
        <v>1</v>
      </c>
      <c r="M12" s="6">
        <v>1</v>
      </c>
      <c r="N12" s="7">
        <f>AVERAGE(J12:M12)</f>
        <v>1</v>
      </c>
      <c r="O12" s="3"/>
      <c r="P12" s="3"/>
      <c r="Q12" s="8">
        <f t="shared" si="0"/>
        <v>1.1111111111111112</v>
      </c>
      <c r="R12" s="3"/>
    </row>
    <row r="13" spans="1:18" ht="25.5" x14ac:dyDescent="0.25">
      <c r="A13" s="3" t="s">
        <v>51</v>
      </c>
      <c r="B13" s="3" t="s">
        <v>52</v>
      </c>
      <c r="C13" s="3"/>
      <c r="D13" s="3" t="s">
        <v>30</v>
      </c>
      <c r="E13" s="3" t="s">
        <v>27</v>
      </c>
      <c r="F13" s="3"/>
      <c r="G13" s="3"/>
      <c r="H13" s="3" t="s">
        <v>28</v>
      </c>
      <c r="I13" s="6">
        <f>90/100</f>
        <v>0.9</v>
      </c>
      <c r="J13" s="19">
        <f>46/48</f>
        <v>0.95833333333333337</v>
      </c>
      <c r="K13" s="19">
        <f>51/53</f>
        <v>0.96226415094339623</v>
      </c>
      <c r="L13" s="20">
        <f>96/97</f>
        <v>0.98969072164948457</v>
      </c>
      <c r="M13" s="6">
        <f>42/42</f>
        <v>1</v>
      </c>
      <c r="N13" s="21">
        <f>(46+51+96)/(48+53+97)</f>
        <v>0.9747474747474747</v>
      </c>
      <c r="O13" s="3"/>
      <c r="P13" s="3"/>
      <c r="Q13" s="8">
        <f t="shared" si="0"/>
        <v>1.0996563573883162</v>
      </c>
      <c r="R13" s="3"/>
    </row>
    <row r="14" spans="1:18" ht="25.5" x14ac:dyDescent="0.25">
      <c r="A14" s="3" t="s">
        <v>53</v>
      </c>
      <c r="B14" s="3" t="s">
        <v>54</v>
      </c>
      <c r="C14" s="3"/>
      <c r="D14" s="3" t="s">
        <v>26</v>
      </c>
      <c r="E14" s="3" t="s">
        <v>27</v>
      </c>
      <c r="F14" s="3"/>
      <c r="G14" s="3"/>
      <c r="H14" s="3" t="s">
        <v>28</v>
      </c>
      <c r="I14" s="6">
        <f>95/100</f>
        <v>0.95</v>
      </c>
      <c r="J14" s="6">
        <f>0/100</f>
        <v>0</v>
      </c>
      <c r="K14" s="6">
        <f>0/100</f>
        <v>0</v>
      </c>
      <c r="L14" s="6">
        <f>0/100</f>
        <v>0</v>
      </c>
      <c r="M14" s="6">
        <f>0/100</f>
        <v>0</v>
      </c>
      <c r="N14" s="7">
        <f>AVERAGE(J14:M14)</f>
        <v>0</v>
      </c>
      <c r="O14" s="3"/>
      <c r="P14" s="3"/>
      <c r="Q14" s="8">
        <f t="shared" si="0"/>
        <v>0</v>
      </c>
      <c r="R14" s="3"/>
    </row>
    <row r="15" spans="1:18" ht="24.75" customHeight="1" x14ac:dyDescent="0.25">
      <c r="A15" s="3" t="s">
        <v>53</v>
      </c>
      <c r="B15" s="3" t="s">
        <v>55</v>
      </c>
      <c r="C15" s="3"/>
      <c r="D15" s="3" t="s">
        <v>30</v>
      </c>
      <c r="E15" s="3" t="s">
        <v>27</v>
      </c>
      <c r="F15" s="3"/>
      <c r="G15" s="3"/>
      <c r="H15" s="3" t="s">
        <v>28</v>
      </c>
      <c r="I15" s="6">
        <f>90/100</f>
        <v>0.9</v>
      </c>
      <c r="J15" s="6">
        <f>9/9</f>
        <v>1</v>
      </c>
      <c r="K15" s="6">
        <f>5/6</f>
        <v>0.83333333333333337</v>
      </c>
      <c r="L15" s="6">
        <f>4/4</f>
        <v>1</v>
      </c>
      <c r="M15" s="3">
        <v>0</v>
      </c>
      <c r="N15" s="7">
        <f>(9+5+4)/(9+6+4)</f>
        <v>0.94736842105263153</v>
      </c>
      <c r="P15" s="3"/>
      <c r="Q15" s="8">
        <f t="shared" si="0"/>
        <v>1.1111111111111112</v>
      </c>
      <c r="R15" s="3"/>
    </row>
    <row r="16" spans="1:18" ht="24" customHeight="1" x14ac:dyDescent="0.25">
      <c r="A16" s="3" t="s">
        <v>53</v>
      </c>
      <c r="B16" s="3" t="s">
        <v>56</v>
      </c>
      <c r="C16" s="3"/>
      <c r="D16" s="3" t="s">
        <v>30</v>
      </c>
      <c r="E16" s="3" t="s">
        <v>27</v>
      </c>
      <c r="F16" s="3"/>
      <c r="G16" s="3"/>
      <c r="H16" s="3" t="s">
        <v>28</v>
      </c>
      <c r="I16" s="6">
        <f>95/100</f>
        <v>0.95</v>
      </c>
      <c r="J16" s="6">
        <f>2/1</f>
        <v>2</v>
      </c>
      <c r="K16" s="6">
        <f>0/1</f>
        <v>0</v>
      </c>
      <c r="L16" s="6">
        <f>4/4</f>
        <v>1</v>
      </c>
      <c r="M16" s="6">
        <v>0</v>
      </c>
      <c r="N16" s="7">
        <f>(2+0+4)/(1+1+4)</f>
        <v>1</v>
      </c>
      <c r="O16" s="3"/>
      <c r="P16" s="3"/>
      <c r="Q16" s="8">
        <f t="shared" si="0"/>
        <v>1.0526315789473684</v>
      </c>
      <c r="R16" s="3"/>
    </row>
    <row r="17" spans="1:18" ht="24" customHeight="1" x14ac:dyDescent="0.25">
      <c r="A17" s="3" t="s">
        <v>57</v>
      </c>
      <c r="B17" s="3" t="s">
        <v>58</v>
      </c>
      <c r="C17" s="3"/>
      <c r="D17" s="3" t="s">
        <v>30</v>
      </c>
      <c r="E17" s="3" t="s">
        <v>27</v>
      </c>
      <c r="F17" s="3"/>
      <c r="G17" s="3"/>
      <c r="H17" s="3" t="s">
        <v>28</v>
      </c>
      <c r="I17" s="6">
        <f>85/100</f>
        <v>0.85</v>
      </c>
      <c r="J17" s="22">
        <v>1</v>
      </c>
      <c r="K17" s="22">
        <v>1</v>
      </c>
      <c r="L17" s="22">
        <v>1</v>
      </c>
      <c r="M17" s="23">
        <v>100</v>
      </c>
      <c r="N17" s="7">
        <f>33/33</f>
        <v>1</v>
      </c>
      <c r="O17" s="3"/>
      <c r="P17" s="3"/>
      <c r="Q17" s="8">
        <f t="shared" si="0"/>
        <v>1.1764705882352942</v>
      </c>
      <c r="R17" s="3"/>
    </row>
    <row r="18" spans="1:18" ht="25.5" x14ac:dyDescent="0.25">
      <c r="A18" s="3" t="s">
        <v>57</v>
      </c>
      <c r="B18" s="3" t="s">
        <v>59</v>
      </c>
      <c r="C18" s="3"/>
      <c r="D18" s="3" t="s">
        <v>30</v>
      </c>
      <c r="E18" s="3" t="s">
        <v>27</v>
      </c>
      <c r="F18" s="3"/>
      <c r="G18" s="3"/>
      <c r="H18" s="3" t="s">
        <v>28</v>
      </c>
      <c r="I18" s="6">
        <f>90/100</f>
        <v>0.9</v>
      </c>
      <c r="J18" s="22">
        <v>1</v>
      </c>
      <c r="K18" s="22">
        <v>1</v>
      </c>
      <c r="L18" s="22">
        <v>1</v>
      </c>
      <c r="M18" s="23">
        <v>100</v>
      </c>
      <c r="N18" s="7">
        <f>46/46</f>
        <v>1</v>
      </c>
      <c r="O18" s="3"/>
      <c r="P18" s="3"/>
      <c r="Q18" s="8">
        <f t="shared" si="0"/>
        <v>1.1111111111111112</v>
      </c>
      <c r="R18" s="3"/>
    </row>
    <row r="19" spans="1:18" ht="25.5" x14ac:dyDescent="0.25">
      <c r="A19" s="3" t="s">
        <v>60</v>
      </c>
      <c r="B19" s="3" t="s">
        <v>61</v>
      </c>
      <c r="C19" s="3" t="s">
        <v>62</v>
      </c>
      <c r="D19" s="3" t="s">
        <v>30</v>
      </c>
      <c r="E19" s="3" t="s">
        <v>27</v>
      </c>
      <c r="F19" s="3"/>
      <c r="G19" s="3"/>
      <c r="H19" s="3" t="s">
        <v>63</v>
      </c>
      <c r="I19" s="3">
        <v>12</v>
      </c>
      <c r="J19" s="3">
        <v>1</v>
      </c>
      <c r="K19" s="3">
        <v>1</v>
      </c>
      <c r="L19" s="3">
        <v>1</v>
      </c>
      <c r="M19" s="3">
        <v>1</v>
      </c>
      <c r="N19" s="10">
        <f>SUM(J19:L19)</f>
        <v>3</v>
      </c>
      <c r="O19" s="3"/>
      <c r="P19" s="3"/>
      <c r="Q19" s="8">
        <f t="shared" si="0"/>
        <v>8.3333333333333329E-2</v>
      </c>
      <c r="R19" s="3"/>
    </row>
    <row r="20" spans="1:18" x14ac:dyDescent="0.25">
      <c r="J20" s="24"/>
      <c r="K20" s="24"/>
      <c r="L20" s="24"/>
      <c r="M20" s="24"/>
    </row>
  </sheetData>
  <mergeCells count="8">
    <mergeCell ref="C1:R1"/>
    <mergeCell ref="A2:C2"/>
    <mergeCell ref="D2:D3"/>
    <mergeCell ref="E2:G2"/>
    <mergeCell ref="H2:H3"/>
    <mergeCell ref="I2:N2"/>
    <mergeCell ref="O2:P2"/>
    <mergeCell ref="Q2:R2"/>
  </mergeCells>
  <pageMargins left="0.23611111111111099" right="0.23611111111111099" top="0.74861111111111101" bottom="0.74791666666666701" header="0.31527777777777799" footer="0.51180555555555496"/>
  <pageSetup scale="83" firstPageNumber="0" orientation="landscape" horizontalDpi="300" verticalDpi="300"/>
  <headerFooter>
    <oddHeader>&amp;RIndicadores de resultados 2017</oddHead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0"/>
  <sheetViews>
    <sheetView zoomScale="60" zoomScaleNormal="60" workbookViewId="0">
      <pane ySplit="3" topLeftCell="A4" activePane="bottomLeft" state="frozen"/>
      <selection pane="bottomLeft" activeCell="A2" sqref="A2"/>
    </sheetView>
  </sheetViews>
  <sheetFormatPr baseColWidth="10" defaultColWidth="10.7109375" defaultRowHeight="15" x14ac:dyDescent="0.25"/>
  <cols>
    <col min="1" max="1" width="8.5703125" customWidth="1"/>
    <col min="2" max="2" width="17.28515625" customWidth="1"/>
    <col min="3" max="3" width="30" customWidth="1"/>
    <col min="4" max="4" width="7" customWidth="1"/>
    <col min="5" max="7" width="2.5703125" customWidth="1"/>
    <col min="8" max="8" width="9.85546875" customWidth="1"/>
    <col min="9" max="9" width="9.140625" customWidth="1"/>
    <col min="10" max="13" width="7.140625" customWidth="1"/>
    <col min="14" max="14" width="8.5703125" customWidth="1"/>
    <col min="15" max="15" width="8.28515625" customWidth="1"/>
    <col min="16" max="17" width="8.5703125" customWidth="1"/>
    <col min="18" max="18" width="9" customWidth="1"/>
  </cols>
  <sheetData>
    <row r="1" spans="1:18" ht="74.25" customHeight="1" x14ac:dyDescent="0.25">
      <c r="C1" s="81" t="s">
        <v>65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22.5" customHeight="1" x14ac:dyDescent="0.25">
      <c r="A2" s="82" t="s">
        <v>1</v>
      </c>
      <c r="B2" s="82"/>
      <c r="C2" s="82"/>
      <c r="D2" s="82" t="s">
        <v>2</v>
      </c>
      <c r="E2" s="83" t="s">
        <v>3</v>
      </c>
      <c r="F2" s="83"/>
      <c r="G2" s="83"/>
      <c r="H2" s="82" t="s">
        <v>4</v>
      </c>
      <c r="I2" s="82" t="s">
        <v>5</v>
      </c>
      <c r="J2" s="82"/>
      <c r="K2" s="82"/>
      <c r="L2" s="82"/>
      <c r="M2" s="82"/>
      <c r="N2" s="82"/>
      <c r="O2" s="82" t="s">
        <v>6</v>
      </c>
      <c r="P2" s="82"/>
      <c r="Q2" s="82" t="s">
        <v>7</v>
      </c>
      <c r="R2" s="82"/>
    </row>
    <row r="3" spans="1:18" ht="63.75" x14ac:dyDescent="0.25">
      <c r="A3" s="1" t="s">
        <v>8</v>
      </c>
      <c r="B3" s="1" t="s">
        <v>9</v>
      </c>
      <c r="C3" s="1" t="s">
        <v>10</v>
      </c>
      <c r="D3" s="82"/>
      <c r="E3" s="2" t="s">
        <v>11</v>
      </c>
      <c r="F3" s="2" t="s">
        <v>12</v>
      </c>
      <c r="G3" s="2" t="s">
        <v>13</v>
      </c>
      <c r="H3" s="82"/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 t="s">
        <v>21</v>
      </c>
      <c r="Q3" s="1" t="s">
        <v>22</v>
      </c>
      <c r="R3" s="1" t="s">
        <v>23</v>
      </c>
    </row>
    <row r="4" spans="1:18" ht="24" customHeight="1" x14ac:dyDescent="0.25">
      <c r="A4" s="3" t="s">
        <v>24</v>
      </c>
      <c r="B4" s="4" t="s">
        <v>25</v>
      </c>
      <c r="C4" s="5"/>
      <c r="D4" s="3" t="s">
        <v>26</v>
      </c>
      <c r="E4" s="3" t="s">
        <v>27</v>
      </c>
      <c r="F4" s="3"/>
      <c r="G4" s="3"/>
      <c r="H4" s="3" t="s">
        <v>28</v>
      </c>
      <c r="I4" s="6">
        <f>20/20</f>
        <v>1</v>
      </c>
      <c r="J4" s="6">
        <f>0/20</f>
        <v>0</v>
      </c>
      <c r="K4" s="6">
        <f>0/20</f>
        <v>0</v>
      </c>
      <c r="L4" s="6">
        <f>0/20</f>
        <v>0</v>
      </c>
      <c r="M4" s="6">
        <f>0/20</f>
        <v>0</v>
      </c>
      <c r="N4" s="7">
        <f>0/20</f>
        <v>0</v>
      </c>
      <c r="O4" s="3"/>
      <c r="P4" s="3"/>
      <c r="Q4" s="8">
        <f t="shared" ref="Q4:Q19" si="0">M4/I4</f>
        <v>0</v>
      </c>
      <c r="R4" s="3"/>
    </row>
    <row r="5" spans="1:18" ht="25.5" x14ac:dyDescent="0.25">
      <c r="A5" s="3" t="s">
        <v>24</v>
      </c>
      <c r="B5" s="4" t="s">
        <v>29</v>
      </c>
      <c r="C5" s="5"/>
      <c r="D5" s="3" t="s">
        <v>30</v>
      </c>
      <c r="E5" s="3"/>
      <c r="F5" s="3"/>
      <c r="G5" s="3" t="s">
        <v>27</v>
      </c>
      <c r="H5" s="3" t="s">
        <v>28</v>
      </c>
      <c r="I5" s="6">
        <f>37112/(9278*5)</f>
        <v>0.8</v>
      </c>
      <c r="J5" s="6">
        <f>0/46390</f>
        <v>0</v>
      </c>
      <c r="K5" s="6">
        <f>0/46390</f>
        <v>0</v>
      </c>
      <c r="L5" s="6">
        <f>0/46390</f>
        <v>0</v>
      </c>
      <c r="M5" s="6">
        <f>0/46390</f>
        <v>0</v>
      </c>
      <c r="N5" s="7">
        <f>0/46390</f>
        <v>0</v>
      </c>
      <c r="O5" s="3"/>
      <c r="P5" s="3"/>
      <c r="Q5" s="8">
        <f t="shared" si="0"/>
        <v>0</v>
      </c>
      <c r="R5" s="3"/>
    </row>
    <row r="6" spans="1:18" ht="24" customHeight="1" x14ac:dyDescent="0.25">
      <c r="A6" s="3" t="s">
        <v>31</v>
      </c>
      <c r="B6" s="3" t="s">
        <v>32</v>
      </c>
      <c r="C6" s="9"/>
      <c r="D6" s="3" t="s">
        <v>30</v>
      </c>
      <c r="E6" s="3" t="s">
        <v>27</v>
      </c>
      <c r="F6" s="3"/>
      <c r="G6" s="3"/>
      <c r="H6" s="3" t="s">
        <v>28</v>
      </c>
      <c r="I6" s="6">
        <f>168/168</f>
        <v>1</v>
      </c>
      <c r="J6" s="6">
        <f>0/168</f>
        <v>0</v>
      </c>
      <c r="K6" s="6">
        <f>0/168</f>
        <v>0</v>
      </c>
      <c r="L6" s="6">
        <f>0/168</f>
        <v>0</v>
      </c>
      <c r="M6" s="6">
        <f>0/168</f>
        <v>0</v>
      </c>
      <c r="N6" s="7">
        <f>0/168</f>
        <v>0</v>
      </c>
      <c r="O6" s="9"/>
      <c r="P6" s="9"/>
      <c r="Q6" s="8">
        <f t="shared" si="0"/>
        <v>0</v>
      </c>
      <c r="R6" s="9"/>
    </row>
    <row r="7" spans="1:18" ht="38.25" x14ac:dyDescent="0.25">
      <c r="A7" s="3" t="s">
        <v>33</v>
      </c>
      <c r="B7" s="3" t="s">
        <v>34</v>
      </c>
      <c r="C7" s="4" t="s">
        <v>35</v>
      </c>
      <c r="D7" s="4" t="s">
        <v>26</v>
      </c>
      <c r="E7" s="4"/>
      <c r="F7" s="4" t="s">
        <v>27</v>
      </c>
      <c r="G7" s="4"/>
      <c r="H7" s="3" t="s">
        <v>36</v>
      </c>
      <c r="I7" s="3">
        <f>340+15</f>
        <v>355</v>
      </c>
      <c r="J7" s="3">
        <f>0+2</f>
        <v>2</v>
      </c>
      <c r="K7" s="3">
        <f>5+0</f>
        <v>5</v>
      </c>
      <c r="L7" s="3">
        <f>21+4</f>
        <v>25</v>
      </c>
      <c r="M7" s="3">
        <f>12+1</f>
        <v>13</v>
      </c>
      <c r="N7" s="10">
        <f>SUM(J7:M7)</f>
        <v>45</v>
      </c>
      <c r="O7" s="3"/>
      <c r="P7" s="3"/>
      <c r="Q7" s="8">
        <f t="shared" si="0"/>
        <v>3.6619718309859155E-2</v>
      </c>
      <c r="R7" s="3"/>
    </row>
    <row r="8" spans="1:18" ht="25.5" x14ac:dyDescent="0.25">
      <c r="A8" s="11" t="s">
        <v>37</v>
      </c>
      <c r="B8" s="12" t="s">
        <v>38</v>
      </c>
      <c r="C8" s="13" t="s">
        <v>39</v>
      </c>
      <c r="D8" s="13" t="s">
        <v>26</v>
      </c>
      <c r="E8" s="13" t="s">
        <v>27</v>
      </c>
      <c r="F8" s="14"/>
      <c r="G8" s="14"/>
      <c r="H8" s="13" t="s">
        <v>40</v>
      </c>
      <c r="I8" s="13">
        <v>40</v>
      </c>
      <c r="J8" s="14">
        <v>1</v>
      </c>
      <c r="K8" s="14">
        <v>1</v>
      </c>
      <c r="L8" s="14">
        <v>2</v>
      </c>
      <c r="M8" s="14">
        <v>0</v>
      </c>
      <c r="N8" s="10">
        <f>SUM(J8:M8)</f>
        <v>4</v>
      </c>
      <c r="O8" s="3"/>
      <c r="P8" s="3"/>
      <c r="Q8" s="8">
        <f t="shared" si="0"/>
        <v>0</v>
      </c>
      <c r="R8" s="3"/>
    </row>
    <row r="9" spans="1:18" ht="25.5" x14ac:dyDescent="0.25">
      <c r="A9" s="11" t="s">
        <v>37</v>
      </c>
      <c r="B9" s="12" t="s">
        <v>41</v>
      </c>
      <c r="C9" s="13" t="s">
        <v>42</v>
      </c>
      <c r="D9" s="13" t="s">
        <v>26</v>
      </c>
      <c r="E9" s="13" t="s">
        <v>27</v>
      </c>
      <c r="F9" s="14"/>
      <c r="G9" s="14"/>
      <c r="H9" s="13" t="s">
        <v>43</v>
      </c>
      <c r="I9" s="13">
        <v>12</v>
      </c>
      <c r="J9" s="14">
        <v>4</v>
      </c>
      <c r="K9" s="14">
        <v>4</v>
      </c>
      <c r="L9" s="14">
        <v>4</v>
      </c>
      <c r="M9" s="14">
        <v>4</v>
      </c>
      <c r="N9" s="10">
        <f>SUM(J9:M9)</f>
        <v>16</v>
      </c>
      <c r="O9" s="3"/>
      <c r="P9" s="3"/>
      <c r="Q9" s="8">
        <f t="shared" si="0"/>
        <v>0.33333333333333331</v>
      </c>
      <c r="R9" s="3"/>
    </row>
    <row r="10" spans="1:18" ht="25.5" x14ac:dyDescent="0.25">
      <c r="A10" s="3" t="s">
        <v>44</v>
      </c>
      <c r="B10" s="3" t="s">
        <v>45</v>
      </c>
      <c r="C10" s="4" t="s">
        <v>46</v>
      </c>
      <c r="D10" s="4" t="s">
        <v>26</v>
      </c>
      <c r="E10" s="4"/>
      <c r="F10" s="4" t="s">
        <v>27</v>
      </c>
      <c r="G10" s="4"/>
      <c r="H10" s="3" t="s">
        <v>47</v>
      </c>
      <c r="I10" s="15">
        <v>7200000</v>
      </c>
      <c r="J10" s="15">
        <v>930167</v>
      </c>
      <c r="K10" s="15">
        <v>948370</v>
      </c>
      <c r="L10" s="15">
        <v>951964</v>
      </c>
      <c r="M10" s="15">
        <v>1008089</v>
      </c>
      <c r="N10" s="16">
        <f>SUM(J10:M10)</f>
        <v>3838590</v>
      </c>
      <c r="O10" s="3"/>
      <c r="P10" s="3"/>
      <c r="Q10" s="8">
        <f t="shared" si="0"/>
        <v>0.14001236111111112</v>
      </c>
      <c r="R10" s="3"/>
    </row>
    <row r="11" spans="1:18" ht="25.5" x14ac:dyDescent="0.25">
      <c r="A11" s="3" t="s">
        <v>48</v>
      </c>
      <c r="B11" s="3" t="s">
        <v>49</v>
      </c>
      <c r="C11" s="3"/>
      <c r="D11" s="3" t="s">
        <v>30</v>
      </c>
      <c r="E11" s="3" t="s">
        <v>27</v>
      </c>
      <c r="F11" s="3"/>
      <c r="G11" s="3"/>
      <c r="H11" s="17" t="s">
        <v>28</v>
      </c>
      <c r="I11" s="6">
        <f>90/100</f>
        <v>0.9</v>
      </c>
      <c r="J11" s="6">
        <f>2/2</f>
        <v>1</v>
      </c>
      <c r="K11" s="6">
        <f>1/1</f>
        <v>1</v>
      </c>
      <c r="L11" s="6">
        <f>3/3</f>
        <v>1</v>
      </c>
      <c r="M11" s="6">
        <f>4/4</f>
        <v>1</v>
      </c>
      <c r="N11" s="7">
        <f>(2+1+3+4)/(2+1+3+4)</f>
        <v>1</v>
      </c>
      <c r="O11" s="3"/>
      <c r="P11" s="3"/>
      <c r="Q11" s="8">
        <f t="shared" si="0"/>
        <v>1.1111111111111112</v>
      </c>
      <c r="R11" s="3"/>
    </row>
    <row r="12" spans="1:18" ht="24.75" customHeight="1" x14ac:dyDescent="0.25">
      <c r="A12" s="3" t="s">
        <v>48</v>
      </c>
      <c r="B12" s="3" t="s">
        <v>50</v>
      </c>
      <c r="C12" s="9"/>
      <c r="D12" s="3" t="s">
        <v>30</v>
      </c>
      <c r="E12" s="3" t="s">
        <v>27</v>
      </c>
      <c r="F12" s="3"/>
      <c r="G12" s="3"/>
      <c r="H12" s="3" t="s">
        <v>28</v>
      </c>
      <c r="I12" s="6">
        <f>90/100</f>
        <v>0.9</v>
      </c>
      <c r="J12" s="6">
        <v>1</v>
      </c>
      <c r="K12" s="6">
        <v>1</v>
      </c>
      <c r="L12" s="6">
        <v>1</v>
      </c>
      <c r="M12" s="6">
        <v>1</v>
      </c>
      <c r="N12" s="7">
        <f>AVERAGE(J12:M12)</f>
        <v>1</v>
      </c>
      <c r="O12" s="3"/>
      <c r="P12" s="3"/>
      <c r="Q12" s="8">
        <f t="shared" si="0"/>
        <v>1.1111111111111112</v>
      </c>
      <c r="R12" s="3"/>
    </row>
    <row r="13" spans="1:18" ht="25.5" x14ac:dyDescent="0.25">
      <c r="A13" s="3" t="s">
        <v>51</v>
      </c>
      <c r="B13" s="3" t="s">
        <v>52</v>
      </c>
      <c r="C13" s="3"/>
      <c r="D13" s="3" t="s">
        <v>30</v>
      </c>
      <c r="E13" s="3" t="s">
        <v>27</v>
      </c>
      <c r="F13" s="3"/>
      <c r="G13" s="3"/>
      <c r="H13" s="3" t="s">
        <v>28</v>
      </c>
      <c r="I13" s="6">
        <f>90/100</f>
        <v>0.9</v>
      </c>
      <c r="J13" s="19">
        <f>46/48</f>
        <v>0.95833333333333337</v>
      </c>
      <c r="K13" s="19">
        <f>51/53</f>
        <v>0.96226415094339623</v>
      </c>
      <c r="L13" s="20">
        <f>96/97</f>
        <v>0.98969072164948457</v>
      </c>
      <c r="M13" s="6">
        <f>42/42</f>
        <v>1</v>
      </c>
      <c r="N13" s="21">
        <f>(46+51+96+42)/(48+53+97+42)</f>
        <v>0.97916666666666663</v>
      </c>
      <c r="O13" s="3"/>
      <c r="P13" s="3"/>
      <c r="Q13" s="8">
        <f t="shared" si="0"/>
        <v>1.1111111111111112</v>
      </c>
      <c r="R13" s="3"/>
    </row>
    <row r="14" spans="1:18" ht="25.5" x14ac:dyDescent="0.25">
      <c r="A14" s="3" t="s">
        <v>53</v>
      </c>
      <c r="B14" s="3" t="s">
        <v>54</v>
      </c>
      <c r="C14" s="3"/>
      <c r="D14" s="3" t="s">
        <v>26</v>
      </c>
      <c r="E14" s="3" t="s">
        <v>27</v>
      </c>
      <c r="F14" s="3"/>
      <c r="G14" s="3"/>
      <c r="H14" s="3" t="s">
        <v>28</v>
      </c>
      <c r="I14" s="6">
        <f>95/100</f>
        <v>0.95</v>
      </c>
      <c r="J14" s="6">
        <f>0/100</f>
        <v>0</v>
      </c>
      <c r="K14" s="6">
        <f>0/100</f>
        <v>0</v>
      </c>
      <c r="L14" s="6">
        <f>0/100</f>
        <v>0</v>
      </c>
      <c r="M14" s="6">
        <f>0/100</f>
        <v>0</v>
      </c>
      <c r="N14" s="7">
        <f>AVERAGE(J14:M14)</f>
        <v>0</v>
      </c>
      <c r="O14" s="3"/>
      <c r="P14" s="3"/>
      <c r="Q14" s="8">
        <f t="shared" si="0"/>
        <v>0</v>
      </c>
      <c r="R14" s="3"/>
    </row>
    <row r="15" spans="1:18" ht="24.75" customHeight="1" x14ac:dyDescent="0.25">
      <c r="A15" s="3" t="s">
        <v>53</v>
      </c>
      <c r="B15" s="3" t="s">
        <v>55</v>
      </c>
      <c r="C15" s="3"/>
      <c r="D15" s="3" t="s">
        <v>30</v>
      </c>
      <c r="E15" s="3" t="s">
        <v>27</v>
      </c>
      <c r="F15" s="3"/>
      <c r="G15" s="3"/>
      <c r="H15" s="3" t="s">
        <v>28</v>
      </c>
      <c r="I15" s="6">
        <f>90/100</f>
        <v>0.9</v>
      </c>
      <c r="J15" s="6">
        <f>9/9</f>
        <v>1</v>
      </c>
      <c r="K15" s="6">
        <f>5/6</f>
        <v>0.83333333333333337</v>
      </c>
      <c r="L15" s="6">
        <f>4/4</f>
        <v>1</v>
      </c>
      <c r="M15" s="3">
        <v>0</v>
      </c>
      <c r="N15" s="7">
        <f>(9+5+4+0)/(9+6+4+0)</f>
        <v>0.94736842105263153</v>
      </c>
      <c r="P15" s="3"/>
      <c r="Q15" s="8">
        <f t="shared" si="0"/>
        <v>0</v>
      </c>
      <c r="R15" s="3"/>
    </row>
    <row r="16" spans="1:18" ht="24" customHeight="1" x14ac:dyDescent="0.25">
      <c r="A16" s="3" t="s">
        <v>53</v>
      </c>
      <c r="B16" s="3" t="s">
        <v>56</v>
      </c>
      <c r="C16" s="3"/>
      <c r="D16" s="3" t="s">
        <v>30</v>
      </c>
      <c r="E16" s="3" t="s">
        <v>27</v>
      </c>
      <c r="F16" s="3"/>
      <c r="G16" s="3"/>
      <c r="H16" s="3" t="s">
        <v>28</v>
      </c>
      <c r="I16" s="6">
        <f>95/100</f>
        <v>0.95</v>
      </c>
      <c r="J16" s="6">
        <f>2/1</f>
        <v>2</v>
      </c>
      <c r="K16" s="6">
        <f>0/1</f>
        <v>0</v>
      </c>
      <c r="L16" s="6">
        <f>4/4</f>
        <v>1</v>
      </c>
      <c r="M16" s="6">
        <v>0</v>
      </c>
      <c r="N16" s="7">
        <f>(2+0+4+0)/(1+1+4+0)</f>
        <v>1</v>
      </c>
      <c r="O16" s="3"/>
      <c r="P16" s="3"/>
      <c r="Q16" s="8">
        <f t="shared" si="0"/>
        <v>0</v>
      </c>
      <c r="R16" s="3"/>
    </row>
    <row r="17" spans="1:18" ht="24" customHeight="1" x14ac:dyDescent="0.25">
      <c r="A17" s="3" t="s">
        <v>57</v>
      </c>
      <c r="B17" s="3" t="s">
        <v>58</v>
      </c>
      <c r="C17" s="3"/>
      <c r="D17" s="3" t="s">
        <v>30</v>
      </c>
      <c r="E17" s="3" t="s">
        <v>27</v>
      </c>
      <c r="F17" s="3"/>
      <c r="G17" s="3"/>
      <c r="H17" s="3" t="s">
        <v>28</v>
      </c>
      <c r="I17" s="6">
        <f>85/100</f>
        <v>0.85</v>
      </c>
      <c r="J17" s="22">
        <v>1</v>
      </c>
      <c r="K17" s="22">
        <v>1</v>
      </c>
      <c r="L17" s="22">
        <v>1</v>
      </c>
      <c r="M17" s="22">
        <v>1</v>
      </c>
      <c r="N17" s="7">
        <f>33/33</f>
        <v>1</v>
      </c>
      <c r="O17" s="3"/>
      <c r="P17" s="3"/>
      <c r="Q17" s="8">
        <f t="shared" si="0"/>
        <v>1.1764705882352942</v>
      </c>
      <c r="R17" s="3"/>
    </row>
    <row r="18" spans="1:18" ht="25.5" x14ac:dyDescent="0.25">
      <c r="A18" s="3" t="s">
        <v>57</v>
      </c>
      <c r="B18" s="3" t="s">
        <v>59</v>
      </c>
      <c r="C18" s="3"/>
      <c r="D18" s="3" t="s">
        <v>30</v>
      </c>
      <c r="E18" s="3" t="s">
        <v>27</v>
      </c>
      <c r="F18" s="3"/>
      <c r="G18" s="3"/>
      <c r="H18" s="3" t="s">
        <v>28</v>
      </c>
      <c r="I18" s="6">
        <f>90/100</f>
        <v>0.9</v>
      </c>
      <c r="J18" s="22">
        <v>1</v>
      </c>
      <c r="K18" s="22">
        <v>1</v>
      </c>
      <c r="L18" s="22">
        <v>1</v>
      </c>
      <c r="M18" s="22">
        <v>1</v>
      </c>
      <c r="N18" s="7">
        <f>46/46</f>
        <v>1</v>
      </c>
      <c r="O18" s="3"/>
      <c r="P18" s="3"/>
      <c r="Q18" s="8">
        <f t="shared" si="0"/>
        <v>1.1111111111111112</v>
      </c>
      <c r="R18" s="3"/>
    </row>
    <row r="19" spans="1:18" ht="25.5" x14ac:dyDescent="0.25">
      <c r="A19" s="3" t="s">
        <v>60</v>
      </c>
      <c r="B19" s="3" t="s">
        <v>61</v>
      </c>
      <c r="C19" s="3" t="s">
        <v>62</v>
      </c>
      <c r="D19" s="3" t="s">
        <v>30</v>
      </c>
      <c r="E19" s="3" t="s">
        <v>27</v>
      </c>
      <c r="F19" s="3"/>
      <c r="G19" s="3"/>
      <c r="H19" s="3" t="s">
        <v>63</v>
      </c>
      <c r="I19" s="3">
        <v>12</v>
      </c>
      <c r="J19" s="3">
        <v>1</v>
      </c>
      <c r="K19" s="3">
        <v>1</v>
      </c>
      <c r="L19" s="3">
        <v>1</v>
      </c>
      <c r="M19" s="3">
        <v>1</v>
      </c>
      <c r="N19" s="10">
        <f>SUM(J19:M19)</f>
        <v>4</v>
      </c>
      <c r="O19" s="3"/>
      <c r="P19" s="3"/>
      <c r="Q19" s="8">
        <f t="shared" si="0"/>
        <v>8.3333333333333329E-2</v>
      </c>
      <c r="R19" s="3"/>
    </row>
    <row r="20" spans="1:18" x14ac:dyDescent="0.25">
      <c r="J20" s="24"/>
      <c r="K20" s="24"/>
      <c r="L20" s="24"/>
      <c r="M20" s="24"/>
    </row>
  </sheetData>
  <mergeCells count="8">
    <mergeCell ref="C1:R1"/>
    <mergeCell ref="A2:C2"/>
    <mergeCell ref="D2:D3"/>
    <mergeCell ref="E2:G2"/>
    <mergeCell ref="H2:H3"/>
    <mergeCell ref="I2:N2"/>
    <mergeCell ref="O2:P2"/>
    <mergeCell ref="Q2:R2"/>
  </mergeCells>
  <pageMargins left="0.23611111111111099" right="0.23611111111111099" top="0.74861111111111101" bottom="0.74791666666666701" header="0.31527777777777799" footer="0.51180555555555496"/>
  <pageSetup scale="83" firstPageNumber="0" orientation="landscape" horizontalDpi="300" verticalDpi="300"/>
  <headerFooter>
    <oddHeader>&amp;RIndicadores de resultados 2017</oddHead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51"/>
  <sheetViews>
    <sheetView showGridLines="0" tabSelected="1" zoomScale="90" zoomScaleNormal="90" zoomScalePageLayoutView="90" workbookViewId="0">
      <selection activeCell="C1" sqref="C1:V1"/>
    </sheetView>
  </sheetViews>
  <sheetFormatPr baseColWidth="10" defaultColWidth="11.42578125" defaultRowHeight="15" x14ac:dyDescent="0.25"/>
  <cols>
    <col min="1" max="1" width="11.28515625" style="25" customWidth="1"/>
    <col min="2" max="2" width="18" style="26" customWidth="1"/>
    <col min="3" max="3" width="52.28515625" style="26" customWidth="1"/>
    <col min="4" max="4" width="9.42578125" style="26" customWidth="1"/>
    <col min="5" max="5" width="2.85546875" style="26" customWidth="1"/>
    <col min="6" max="6" width="2.7109375" style="26" customWidth="1"/>
    <col min="7" max="7" width="5.42578125" style="26" customWidth="1"/>
    <col min="8" max="8" width="9.85546875" style="26" customWidth="1"/>
    <col min="9" max="9" width="8.85546875" style="26" customWidth="1"/>
    <col min="10" max="10" width="7.5703125" style="26" customWidth="1"/>
    <col min="11" max="11" width="8" style="26" customWidth="1"/>
    <col min="12" max="12" width="8.7109375" style="26" customWidth="1"/>
    <col min="13" max="13" width="7.7109375" style="26" customWidth="1"/>
    <col min="14" max="14" width="8.140625" style="26" customWidth="1"/>
    <col min="15" max="15" width="7.42578125" style="26" customWidth="1"/>
    <col min="16" max="16" width="9" style="26" customWidth="1"/>
    <col min="17" max="17" width="7.28515625" style="26" customWidth="1"/>
    <col min="18" max="21" width="8" style="26" customWidth="1"/>
    <col min="22" max="22" width="8.5703125" style="26" customWidth="1"/>
    <col min="23" max="1023" width="11.42578125" style="26"/>
    <col min="1024" max="1025" width="11.5703125" style="27" customWidth="1"/>
  </cols>
  <sheetData>
    <row r="1" spans="1:22" ht="66" customHeight="1" x14ac:dyDescent="0.25">
      <c r="C1" s="85" t="s">
        <v>66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</row>
    <row r="2" spans="1:22" ht="22.5" customHeight="1" x14ac:dyDescent="0.25">
      <c r="A2" s="86" t="s">
        <v>1</v>
      </c>
      <c r="B2" s="86"/>
      <c r="C2" s="86"/>
      <c r="D2" s="86" t="s">
        <v>2</v>
      </c>
      <c r="E2" s="86" t="s">
        <v>3</v>
      </c>
      <c r="F2" s="86"/>
      <c r="G2" s="86"/>
      <c r="H2" s="86" t="s">
        <v>4</v>
      </c>
      <c r="I2" s="86" t="s">
        <v>5</v>
      </c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51" customHeight="1" x14ac:dyDescent="0.25">
      <c r="A3" s="29" t="s">
        <v>8</v>
      </c>
      <c r="B3" s="28" t="s">
        <v>9</v>
      </c>
      <c r="C3" s="28" t="s">
        <v>10</v>
      </c>
      <c r="D3" s="86"/>
      <c r="E3" s="30" t="s">
        <v>11</v>
      </c>
      <c r="F3" s="30" t="s">
        <v>12</v>
      </c>
      <c r="G3" s="30" t="s">
        <v>13</v>
      </c>
      <c r="H3" s="86"/>
      <c r="I3" s="28" t="s">
        <v>14</v>
      </c>
      <c r="J3" s="28" t="s">
        <v>15</v>
      </c>
      <c r="K3" s="28" t="s">
        <v>16</v>
      </c>
      <c r="L3" s="28" t="s">
        <v>17</v>
      </c>
      <c r="M3" s="28" t="s">
        <v>18</v>
      </c>
      <c r="N3" s="28" t="s">
        <v>67</v>
      </c>
      <c r="O3" s="28" t="s">
        <v>68</v>
      </c>
      <c r="P3" s="28" t="s">
        <v>69</v>
      </c>
      <c r="Q3" s="28" t="s">
        <v>70</v>
      </c>
      <c r="R3" s="28" t="s">
        <v>71</v>
      </c>
      <c r="S3" s="28" t="s">
        <v>72</v>
      </c>
      <c r="T3" s="28" t="s">
        <v>73</v>
      </c>
      <c r="U3" s="28" t="s">
        <v>74</v>
      </c>
      <c r="V3" s="28" t="s">
        <v>75</v>
      </c>
    </row>
    <row r="4" spans="1:22" ht="39.75" customHeight="1" x14ac:dyDescent="0.25">
      <c r="A4" s="31" t="s">
        <v>31</v>
      </c>
      <c r="B4" s="32" t="s">
        <v>76</v>
      </c>
      <c r="C4" s="33" t="s">
        <v>77</v>
      </c>
      <c r="D4" s="33" t="s">
        <v>26</v>
      </c>
      <c r="E4" s="33" t="s">
        <v>78</v>
      </c>
      <c r="F4" s="33"/>
      <c r="G4" s="33"/>
      <c r="H4" s="33" t="s">
        <v>28</v>
      </c>
      <c r="I4" s="34">
        <v>1</v>
      </c>
      <c r="J4" s="34">
        <v>0</v>
      </c>
      <c r="K4" s="34">
        <v>0</v>
      </c>
      <c r="L4" s="34">
        <v>0.2</v>
      </c>
      <c r="M4" s="34">
        <v>0</v>
      </c>
      <c r="N4" s="34">
        <v>0.7</v>
      </c>
      <c r="O4" s="34">
        <v>0</v>
      </c>
      <c r="P4" s="34">
        <v>0</v>
      </c>
      <c r="Q4" s="34">
        <v>0</v>
      </c>
      <c r="R4" s="35">
        <v>0</v>
      </c>
      <c r="S4" s="34">
        <v>0</v>
      </c>
      <c r="T4" s="34">
        <v>0</v>
      </c>
      <c r="U4" s="34">
        <v>0</v>
      </c>
      <c r="V4" s="36">
        <f t="shared" ref="V4:V13" si="0">SUM(J4:U4)</f>
        <v>0.89999999999999991</v>
      </c>
    </row>
    <row r="5" spans="1:22" ht="39.75" customHeight="1" x14ac:dyDescent="0.25">
      <c r="A5" s="31" t="s">
        <v>31</v>
      </c>
      <c r="B5" s="32" t="s">
        <v>79</v>
      </c>
      <c r="C5" s="33" t="s">
        <v>80</v>
      </c>
      <c r="D5" s="33" t="s">
        <v>26</v>
      </c>
      <c r="E5" s="33" t="s">
        <v>78</v>
      </c>
      <c r="F5" s="33"/>
      <c r="G5" s="33"/>
      <c r="H5" s="33" t="s">
        <v>28</v>
      </c>
      <c r="I5" s="34">
        <v>1</v>
      </c>
      <c r="J5" s="34">
        <v>0</v>
      </c>
      <c r="K5" s="34">
        <v>0</v>
      </c>
      <c r="L5" s="34">
        <v>0.3</v>
      </c>
      <c r="M5" s="34">
        <v>0</v>
      </c>
      <c r="N5" s="34">
        <v>0</v>
      </c>
      <c r="O5" s="34">
        <v>0</v>
      </c>
      <c r="P5" s="34">
        <v>0</v>
      </c>
      <c r="Q5" s="34">
        <v>0.05</v>
      </c>
      <c r="R5" s="35">
        <v>0.05</v>
      </c>
      <c r="S5" s="34">
        <v>0</v>
      </c>
      <c r="T5" s="34">
        <v>0</v>
      </c>
      <c r="U5" s="34">
        <v>0</v>
      </c>
      <c r="V5" s="36">
        <f t="shared" si="0"/>
        <v>0.39999999999999997</v>
      </c>
    </row>
    <row r="6" spans="1:22" ht="39.75" customHeight="1" x14ac:dyDescent="0.25">
      <c r="A6" s="31" t="s">
        <v>31</v>
      </c>
      <c r="B6" s="32" t="s">
        <v>81</v>
      </c>
      <c r="C6" s="33" t="s">
        <v>82</v>
      </c>
      <c r="D6" s="33" t="s">
        <v>26</v>
      </c>
      <c r="E6" s="33" t="s">
        <v>78</v>
      </c>
      <c r="F6" s="33"/>
      <c r="G6" s="33"/>
      <c r="H6" s="33" t="s">
        <v>28</v>
      </c>
      <c r="I6" s="34">
        <v>1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0.1</v>
      </c>
      <c r="R6" s="35">
        <v>0.4</v>
      </c>
      <c r="S6" s="34">
        <v>0</v>
      </c>
      <c r="T6" s="34">
        <v>0</v>
      </c>
      <c r="U6" s="34">
        <v>0</v>
      </c>
      <c r="V6" s="36">
        <f t="shared" si="0"/>
        <v>0.5</v>
      </c>
    </row>
    <row r="7" spans="1:22" ht="39.75" customHeight="1" x14ac:dyDescent="0.25">
      <c r="A7" s="31" t="s">
        <v>31</v>
      </c>
      <c r="B7" s="32" t="s">
        <v>83</v>
      </c>
      <c r="C7" s="32" t="s">
        <v>84</v>
      </c>
      <c r="D7" s="33" t="s">
        <v>26</v>
      </c>
      <c r="E7" s="33" t="s">
        <v>78</v>
      </c>
      <c r="F7" s="33"/>
      <c r="G7" s="33"/>
      <c r="H7" s="33" t="s">
        <v>28</v>
      </c>
      <c r="I7" s="34">
        <v>1</v>
      </c>
      <c r="J7" s="34">
        <v>0</v>
      </c>
      <c r="K7" s="34">
        <v>0</v>
      </c>
      <c r="L7" s="34">
        <v>0.15</v>
      </c>
      <c r="M7" s="34">
        <v>0.1</v>
      </c>
      <c r="N7" s="34">
        <v>0.3</v>
      </c>
      <c r="O7" s="34">
        <v>0.45</v>
      </c>
      <c r="P7" s="34">
        <v>0</v>
      </c>
      <c r="Q7" s="34">
        <v>0</v>
      </c>
      <c r="R7" s="35">
        <v>0</v>
      </c>
      <c r="S7" s="34">
        <v>0</v>
      </c>
      <c r="T7" s="34">
        <v>0</v>
      </c>
      <c r="U7" s="34">
        <v>0</v>
      </c>
      <c r="V7" s="36">
        <f t="shared" si="0"/>
        <v>1</v>
      </c>
    </row>
    <row r="8" spans="1:22" ht="65.25" customHeight="1" x14ac:dyDescent="0.25">
      <c r="A8" s="31" t="s">
        <v>31</v>
      </c>
      <c r="B8" s="32" t="s">
        <v>85</v>
      </c>
      <c r="C8" s="33" t="s">
        <v>86</v>
      </c>
      <c r="D8" s="33" t="s">
        <v>26</v>
      </c>
      <c r="E8" s="33" t="s">
        <v>78</v>
      </c>
      <c r="F8" s="33"/>
      <c r="G8" s="33"/>
      <c r="H8" s="33" t="s">
        <v>28</v>
      </c>
      <c r="I8" s="34">
        <v>1</v>
      </c>
      <c r="J8" s="34">
        <f>0/46390</f>
        <v>0</v>
      </c>
      <c r="K8" s="34">
        <f>0/46390</f>
        <v>0</v>
      </c>
      <c r="L8" s="34">
        <v>0.15</v>
      </c>
      <c r="M8" s="34">
        <f>0/46390</f>
        <v>0</v>
      </c>
      <c r="N8" s="34">
        <v>0</v>
      </c>
      <c r="O8" s="34">
        <v>0</v>
      </c>
      <c r="P8" s="34">
        <v>0.15</v>
      </c>
      <c r="Q8" s="34">
        <v>0.15</v>
      </c>
      <c r="R8" s="35">
        <v>0.2</v>
      </c>
      <c r="S8" s="34">
        <v>0</v>
      </c>
      <c r="T8" s="34">
        <v>0</v>
      </c>
      <c r="U8" s="34">
        <f>0/46390*100%</f>
        <v>0</v>
      </c>
      <c r="V8" s="36">
        <f t="shared" si="0"/>
        <v>0.64999999999999991</v>
      </c>
    </row>
    <row r="9" spans="1:22" ht="22.5" x14ac:dyDescent="0.25">
      <c r="A9" s="37" t="s">
        <v>44</v>
      </c>
      <c r="B9" s="33" t="s">
        <v>45</v>
      </c>
      <c r="C9" s="33" t="s">
        <v>46</v>
      </c>
      <c r="D9" s="33" t="s">
        <v>26</v>
      </c>
      <c r="E9" s="33" t="s">
        <v>27</v>
      </c>
      <c r="F9" s="33"/>
      <c r="G9" s="33"/>
      <c r="H9" s="33" t="s">
        <v>47</v>
      </c>
      <c r="I9" s="38" t="s">
        <v>87</v>
      </c>
      <c r="J9" s="39">
        <v>232332</v>
      </c>
      <c r="K9" s="39">
        <v>856100</v>
      </c>
      <c r="L9" s="39">
        <v>210913</v>
      </c>
      <c r="M9" s="40">
        <v>851060</v>
      </c>
      <c r="N9" s="40">
        <v>911100</v>
      </c>
      <c r="O9" s="40">
        <v>790793</v>
      </c>
      <c r="P9" s="40">
        <v>609312</v>
      </c>
      <c r="Q9" s="40">
        <v>579013</v>
      </c>
      <c r="R9" s="41">
        <v>513211</v>
      </c>
      <c r="S9" s="42">
        <v>0</v>
      </c>
      <c r="T9" s="42">
        <v>0</v>
      </c>
      <c r="U9" s="42">
        <v>0</v>
      </c>
      <c r="V9" s="43">
        <f t="shared" si="0"/>
        <v>5553834</v>
      </c>
    </row>
    <row r="10" spans="1:22" ht="28.35" customHeight="1" x14ac:dyDescent="0.25">
      <c r="A10" s="31" t="s">
        <v>37</v>
      </c>
      <c r="B10" s="32" t="s">
        <v>88</v>
      </c>
      <c r="C10" s="44" t="s">
        <v>89</v>
      </c>
      <c r="D10" s="33" t="s">
        <v>90</v>
      </c>
      <c r="E10" s="33" t="s">
        <v>27</v>
      </c>
      <c r="F10" s="33"/>
      <c r="G10" s="33"/>
      <c r="H10" s="33" t="s">
        <v>28</v>
      </c>
      <c r="I10" s="34">
        <v>1</v>
      </c>
      <c r="J10" s="34">
        <v>0.05</v>
      </c>
      <c r="K10" s="34">
        <v>0.05</v>
      </c>
      <c r="L10" s="34">
        <v>0.03</v>
      </c>
      <c r="M10" s="34">
        <v>0.05</v>
      </c>
      <c r="N10" s="34">
        <v>0.05</v>
      </c>
      <c r="O10" s="34">
        <v>0.05</v>
      </c>
      <c r="P10" s="34">
        <v>0.15</v>
      </c>
      <c r="Q10" s="34">
        <v>0.2</v>
      </c>
      <c r="R10" s="35">
        <v>0.08</v>
      </c>
      <c r="S10" s="34">
        <v>0</v>
      </c>
      <c r="T10" s="34">
        <v>0</v>
      </c>
      <c r="U10" s="34">
        <v>0</v>
      </c>
      <c r="V10" s="36">
        <f t="shared" si="0"/>
        <v>0.70999999999999985</v>
      </c>
    </row>
    <row r="11" spans="1:22" ht="28.35" customHeight="1" x14ac:dyDescent="0.25">
      <c r="A11" s="31" t="s">
        <v>37</v>
      </c>
      <c r="B11" s="32" t="s">
        <v>91</v>
      </c>
      <c r="C11" s="33" t="s">
        <v>92</v>
      </c>
      <c r="D11" s="33" t="s">
        <v>90</v>
      </c>
      <c r="E11" s="33"/>
      <c r="F11" s="33" t="s">
        <v>78</v>
      </c>
      <c r="G11" s="33"/>
      <c r="H11" s="33" t="s">
        <v>28</v>
      </c>
      <c r="I11" s="34">
        <v>1</v>
      </c>
      <c r="J11" s="34">
        <v>0</v>
      </c>
      <c r="K11" s="34">
        <v>0.05</v>
      </c>
      <c r="L11" s="34">
        <v>7.0000000000000007E-2</v>
      </c>
      <c r="M11" s="34">
        <v>0</v>
      </c>
      <c r="N11" s="34">
        <v>0</v>
      </c>
      <c r="O11" s="34">
        <v>0</v>
      </c>
      <c r="P11" s="34">
        <v>0.15</v>
      </c>
      <c r="Q11" s="34">
        <v>0.15</v>
      </c>
      <c r="R11" s="35">
        <v>0.25</v>
      </c>
      <c r="S11" s="34">
        <v>0</v>
      </c>
      <c r="T11" s="34">
        <v>0</v>
      </c>
      <c r="U11" s="34">
        <v>0</v>
      </c>
      <c r="V11" s="36">
        <f t="shared" si="0"/>
        <v>0.67</v>
      </c>
    </row>
    <row r="12" spans="1:22" ht="28.35" customHeight="1" x14ac:dyDescent="0.25">
      <c r="A12" s="31" t="s">
        <v>37</v>
      </c>
      <c r="B12" s="32" t="s">
        <v>93</v>
      </c>
      <c r="C12" s="33" t="s">
        <v>94</v>
      </c>
      <c r="D12" s="33" t="s">
        <v>90</v>
      </c>
      <c r="E12" s="33" t="s">
        <v>78</v>
      </c>
      <c r="F12" s="33"/>
      <c r="G12" s="33"/>
      <c r="H12" s="33" t="s">
        <v>28</v>
      </c>
      <c r="I12" s="34">
        <v>1</v>
      </c>
      <c r="J12" s="34">
        <v>0.05</v>
      </c>
      <c r="K12" s="34">
        <v>0.08</v>
      </c>
      <c r="L12" s="34">
        <v>7.0000000000000007E-2</v>
      </c>
      <c r="M12" s="34">
        <v>0</v>
      </c>
      <c r="N12" s="34">
        <v>0</v>
      </c>
      <c r="O12" s="34">
        <v>0</v>
      </c>
      <c r="P12" s="34">
        <v>0.05</v>
      </c>
      <c r="Q12" s="34">
        <v>0.1</v>
      </c>
      <c r="R12" s="35">
        <v>0.15</v>
      </c>
      <c r="S12" s="34">
        <v>0</v>
      </c>
      <c r="T12" s="34">
        <v>0</v>
      </c>
      <c r="U12" s="34">
        <v>0</v>
      </c>
      <c r="V12" s="36">
        <f t="shared" si="0"/>
        <v>0.5</v>
      </c>
    </row>
    <row r="13" spans="1:22" ht="28.35" customHeight="1" x14ac:dyDescent="0.25">
      <c r="A13" s="31" t="s">
        <v>37</v>
      </c>
      <c r="B13" s="32" t="s">
        <v>95</v>
      </c>
      <c r="C13" s="33" t="s">
        <v>96</v>
      </c>
      <c r="D13" s="33" t="s">
        <v>90</v>
      </c>
      <c r="E13" s="33"/>
      <c r="F13" s="33"/>
      <c r="G13" s="33" t="s">
        <v>27</v>
      </c>
      <c r="H13" s="33" t="s">
        <v>28</v>
      </c>
      <c r="I13" s="34">
        <v>1</v>
      </c>
      <c r="J13" s="34">
        <v>0.08</v>
      </c>
      <c r="K13" s="34">
        <v>7.0000000000000007E-2</v>
      </c>
      <c r="L13" s="34">
        <v>0.08</v>
      </c>
      <c r="M13" s="34">
        <v>0</v>
      </c>
      <c r="N13" s="34">
        <v>0</v>
      </c>
      <c r="O13" s="34">
        <v>0</v>
      </c>
      <c r="P13" s="34">
        <v>0.4</v>
      </c>
      <c r="Q13" s="34">
        <v>0.1</v>
      </c>
      <c r="R13" s="45">
        <v>0.08</v>
      </c>
      <c r="S13" s="34">
        <v>0</v>
      </c>
      <c r="T13" s="34">
        <v>0</v>
      </c>
      <c r="U13" s="34">
        <f>0/46390*100%</f>
        <v>0</v>
      </c>
      <c r="V13" s="36">
        <f t="shared" si="0"/>
        <v>0.81</v>
      </c>
    </row>
    <row r="14" spans="1:22" ht="28.35" customHeight="1" x14ac:dyDescent="0.25">
      <c r="A14" s="37" t="s">
        <v>60</v>
      </c>
      <c r="B14" s="33" t="s">
        <v>61</v>
      </c>
      <c r="C14" s="33" t="s">
        <v>62</v>
      </c>
      <c r="D14" s="33" t="s">
        <v>30</v>
      </c>
      <c r="E14" s="33" t="s">
        <v>27</v>
      </c>
      <c r="F14" s="33"/>
      <c r="G14" s="33"/>
      <c r="H14" s="33" t="s">
        <v>63</v>
      </c>
      <c r="I14" s="33">
        <v>12</v>
      </c>
      <c r="J14" s="33">
        <v>1</v>
      </c>
      <c r="K14" s="33">
        <v>1</v>
      </c>
      <c r="L14" s="33">
        <v>1</v>
      </c>
      <c r="M14" s="33">
        <v>1</v>
      </c>
      <c r="N14" s="33">
        <v>1</v>
      </c>
      <c r="O14" s="33">
        <v>1</v>
      </c>
      <c r="P14" s="33">
        <v>1</v>
      </c>
      <c r="Q14" s="33">
        <v>1</v>
      </c>
      <c r="R14" s="44">
        <v>1</v>
      </c>
      <c r="S14" s="44">
        <v>0</v>
      </c>
      <c r="T14" s="44">
        <v>0</v>
      </c>
      <c r="U14" s="44">
        <v>0</v>
      </c>
      <c r="V14" s="31">
        <v>8</v>
      </c>
    </row>
    <row r="15" spans="1:22" ht="56.25" x14ac:dyDescent="0.25">
      <c r="A15" s="31" t="s">
        <v>24</v>
      </c>
      <c r="B15" s="32" t="s">
        <v>97</v>
      </c>
      <c r="C15" s="44" t="s">
        <v>98</v>
      </c>
      <c r="D15" s="33" t="s">
        <v>26</v>
      </c>
      <c r="E15" s="33" t="s">
        <v>27</v>
      </c>
      <c r="F15" s="33" t="s">
        <v>27</v>
      </c>
      <c r="G15" s="33"/>
      <c r="H15" s="33" t="s">
        <v>28</v>
      </c>
      <c r="I15" s="34">
        <v>1</v>
      </c>
      <c r="J15" s="34">
        <v>0</v>
      </c>
      <c r="K15" s="34">
        <v>0</v>
      </c>
      <c r="L15" s="34">
        <v>0</v>
      </c>
      <c r="M15" s="46">
        <v>0</v>
      </c>
      <c r="N15" s="46">
        <v>0.2</v>
      </c>
      <c r="O15" s="46">
        <v>0</v>
      </c>
      <c r="P15" s="46">
        <v>0.13</v>
      </c>
      <c r="Q15" s="46">
        <v>0</v>
      </c>
      <c r="R15" s="35">
        <v>0.09</v>
      </c>
      <c r="S15" s="34">
        <v>0</v>
      </c>
      <c r="T15" s="34">
        <v>0</v>
      </c>
      <c r="U15" s="34">
        <v>0</v>
      </c>
      <c r="V15" s="36">
        <f t="shared" ref="V15:V20" si="1">SUM(J15:U15)</f>
        <v>0.42000000000000004</v>
      </c>
    </row>
    <row r="16" spans="1:22" ht="56.25" x14ac:dyDescent="0.25">
      <c r="A16" s="31" t="s">
        <v>24</v>
      </c>
      <c r="B16" s="32" t="s">
        <v>99</v>
      </c>
      <c r="C16" s="44" t="s">
        <v>98</v>
      </c>
      <c r="D16" s="33" t="s">
        <v>26</v>
      </c>
      <c r="E16" s="33" t="s">
        <v>27</v>
      </c>
      <c r="F16" s="33" t="s">
        <v>27</v>
      </c>
      <c r="G16" s="33" t="s">
        <v>27</v>
      </c>
      <c r="H16" s="33" t="s">
        <v>28</v>
      </c>
      <c r="I16" s="34">
        <v>1</v>
      </c>
      <c r="J16" s="34">
        <v>0</v>
      </c>
      <c r="K16" s="34">
        <v>0</v>
      </c>
      <c r="L16" s="34">
        <v>0</v>
      </c>
      <c r="M16" s="46">
        <v>0</v>
      </c>
      <c r="N16" s="46">
        <v>0</v>
      </c>
      <c r="O16" s="46">
        <v>0.18</v>
      </c>
      <c r="P16" s="46">
        <v>7.0000000000000007E-2</v>
      </c>
      <c r="Q16" s="46">
        <v>0</v>
      </c>
      <c r="R16" s="35">
        <v>0.22</v>
      </c>
      <c r="S16" s="34">
        <v>0</v>
      </c>
      <c r="T16" s="34">
        <v>0</v>
      </c>
      <c r="U16" s="34">
        <v>0</v>
      </c>
      <c r="V16" s="36">
        <f t="shared" si="1"/>
        <v>0.47</v>
      </c>
    </row>
    <row r="17" spans="1:1024" s="51" customFormat="1" ht="65.650000000000006" customHeight="1" x14ac:dyDescent="0.2">
      <c r="A17" s="47" t="s">
        <v>24</v>
      </c>
      <c r="B17" s="32" t="s">
        <v>100</v>
      </c>
      <c r="C17" s="48" t="s">
        <v>98</v>
      </c>
      <c r="D17" s="32" t="s">
        <v>30</v>
      </c>
      <c r="E17" s="32"/>
      <c r="F17" s="32" t="s">
        <v>27</v>
      </c>
      <c r="G17" s="32" t="s">
        <v>27</v>
      </c>
      <c r="H17" s="32" t="s">
        <v>28</v>
      </c>
      <c r="I17" s="49">
        <v>1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50">
        <f t="shared" si="1"/>
        <v>0</v>
      </c>
      <c r="AMJ17" s="52"/>
    </row>
    <row r="18" spans="1:1024" ht="49.9" customHeight="1" x14ac:dyDescent="0.25">
      <c r="A18" s="53" t="s">
        <v>24</v>
      </c>
      <c r="B18" s="32" t="s">
        <v>101</v>
      </c>
      <c r="C18" s="54"/>
      <c r="D18" s="55" t="s">
        <v>26</v>
      </c>
      <c r="E18" s="55"/>
      <c r="F18" s="55" t="s">
        <v>78</v>
      </c>
      <c r="G18" s="55" t="s">
        <v>78</v>
      </c>
      <c r="H18" s="55" t="s">
        <v>28</v>
      </c>
      <c r="I18" s="46">
        <v>1</v>
      </c>
      <c r="J18" s="46">
        <v>0</v>
      </c>
      <c r="K18" s="46">
        <v>0.25</v>
      </c>
      <c r="L18" s="46">
        <v>0.25</v>
      </c>
      <c r="M18" s="46">
        <v>0.5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36">
        <f t="shared" si="1"/>
        <v>1</v>
      </c>
    </row>
    <row r="19" spans="1:1024" ht="33.75" x14ac:dyDescent="0.25">
      <c r="A19" s="31" t="s">
        <v>24</v>
      </c>
      <c r="B19" s="32" t="s">
        <v>102</v>
      </c>
      <c r="C19" s="56" t="s">
        <v>103</v>
      </c>
      <c r="D19" s="33" t="s">
        <v>26</v>
      </c>
      <c r="E19" s="33" t="s">
        <v>27</v>
      </c>
      <c r="F19" s="33" t="s">
        <v>27</v>
      </c>
      <c r="G19" s="33"/>
      <c r="H19" s="33" t="s">
        <v>28</v>
      </c>
      <c r="I19" s="34">
        <v>1</v>
      </c>
      <c r="J19" s="34">
        <f>9/100</f>
        <v>0.09</v>
      </c>
      <c r="K19" s="34">
        <v>0</v>
      </c>
      <c r="L19" s="34">
        <v>0</v>
      </c>
      <c r="M19" s="46">
        <v>0.36</v>
      </c>
      <c r="N19" s="46">
        <v>0.45</v>
      </c>
      <c r="O19" s="46">
        <v>0</v>
      </c>
      <c r="P19" s="46">
        <v>0</v>
      </c>
      <c r="Q19" s="46">
        <v>0</v>
      </c>
      <c r="R19" s="34">
        <v>0.1</v>
      </c>
      <c r="S19" s="34">
        <v>0</v>
      </c>
      <c r="T19" s="34">
        <v>0</v>
      </c>
      <c r="U19" s="34">
        <v>0</v>
      </c>
      <c r="V19" s="36">
        <f t="shared" si="1"/>
        <v>0.99999999999999989</v>
      </c>
    </row>
    <row r="20" spans="1:1024" ht="65.650000000000006" customHeight="1" x14ac:dyDescent="0.25">
      <c r="A20" s="31" t="s">
        <v>24</v>
      </c>
      <c r="B20" s="32" t="s">
        <v>104</v>
      </c>
      <c r="C20" s="44" t="s">
        <v>105</v>
      </c>
      <c r="D20" s="33" t="s">
        <v>30</v>
      </c>
      <c r="E20" s="33"/>
      <c r="F20" s="33"/>
      <c r="G20" s="33" t="s">
        <v>27</v>
      </c>
      <c r="H20" s="33" t="s">
        <v>28</v>
      </c>
      <c r="I20" s="34">
        <v>0.7</v>
      </c>
      <c r="J20" s="34">
        <v>0</v>
      </c>
      <c r="K20" s="34">
        <v>3.0800000000000001E-2</v>
      </c>
      <c r="L20" s="34">
        <v>0.5</v>
      </c>
      <c r="M20" s="46">
        <v>2.47E-2</v>
      </c>
      <c r="N20" s="57">
        <v>2.47E-2</v>
      </c>
      <c r="O20" s="57">
        <v>2.47E-2</v>
      </c>
      <c r="P20" s="46">
        <v>0</v>
      </c>
      <c r="Q20" s="46">
        <v>0</v>
      </c>
      <c r="R20" s="45">
        <v>0.06</v>
      </c>
      <c r="S20" s="34">
        <v>0</v>
      </c>
      <c r="T20" s="34">
        <v>0</v>
      </c>
      <c r="U20" s="34">
        <v>0</v>
      </c>
      <c r="V20" s="58">
        <f t="shared" si="1"/>
        <v>0.66490000000000005</v>
      </c>
    </row>
    <row r="21" spans="1:1024" ht="33.75" x14ac:dyDescent="0.25">
      <c r="A21" s="31" t="s">
        <v>24</v>
      </c>
      <c r="B21" s="32" t="s">
        <v>106</v>
      </c>
      <c r="C21" s="59" t="s">
        <v>107</v>
      </c>
      <c r="D21" s="33" t="s">
        <v>30</v>
      </c>
      <c r="E21" s="33" t="s">
        <v>78</v>
      </c>
      <c r="F21" s="33" t="s">
        <v>78</v>
      </c>
      <c r="G21" s="33" t="s">
        <v>78</v>
      </c>
      <c r="H21" s="33" t="s">
        <v>108</v>
      </c>
      <c r="I21" s="34">
        <v>1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>
        <v>15</v>
      </c>
      <c r="P21" s="60">
        <v>0</v>
      </c>
      <c r="Q21" s="60">
        <v>110</v>
      </c>
      <c r="R21" s="61">
        <v>32</v>
      </c>
      <c r="S21" s="62">
        <v>0</v>
      </c>
      <c r="T21" s="62">
        <v>0</v>
      </c>
      <c r="U21" s="62">
        <v>0</v>
      </c>
      <c r="V21" s="63">
        <f>J21+K21+L21+M21+N21+O21+P21+Q21+R21+S21+T21+U21</f>
        <v>157</v>
      </c>
    </row>
    <row r="22" spans="1:1024" s="65" customFormat="1" ht="33.75" x14ac:dyDescent="0.2">
      <c r="A22" s="47" t="s">
        <v>109</v>
      </c>
      <c r="B22" s="32" t="s">
        <v>110</v>
      </c>
      <c r="C22" s="56" t="s">
        <v>111</v>
      </c>
      <c r="D22" s="32" t="s">
        <v>26</v>
      </c>
      <c r="E22" s="32"/>
      <c r="F22" s="32" t="s">
        <v>78</v>
      </c>
      <c r="G22" s="32"/>
      <c r="H22" s="32" t="s">
        <v>28</v>
      </c>
      <c r="I22" s="49">
        <v>1</v>
      </c>
      <c r="J22" s="49">
        <v>0</v>
      </c>
      <c r="K22" s="49">
        <v>0</v>
      </c>
      <c r="L22" s="49">
        <v>0.2</v>
      </c>
      <c r="M22" s="49">
        <v>0</v>
      </c>
      <c r="N22" s="49">
        <v>0</v>
      </c>
      <c r="O22" s="49">
        <v>0</v>
      </c>
      <c r="P22" s="49">
        <v>0</v>
      </c>
      <c r="Q22" s="49">
        <v>0.8</v>
      </c>
      <c r="R22" s="64">
        <v>0</v>
      </c>
      <c r="S22" s="49">
        <v>0</v>
      </c>
      <c r="T22" s="49">
        <v>0</v>
      </c>
      <c r="U22" s="49">
        <v>0</v>
      </c>
      <c r="V22" s="50">
        <f t="shared" ref="V22:V35" si="2">SUM(J22:U22)</f>
        <v>1</v>
      </c>
      <c r="AMJ22" s="27"/>
    </row>
    <row r="23" spans="1:1024" s="65" customFormat="1" ht="67.5" x14ac:dyDescent="0.2">
      <c r="A23" s="47" t="s">
        <v>109</v>
      </c>
      <c r="B23" s="32" t="s">
        <v>112</v>
      </c>
      <c r="C23" s="56" t="s">
        <v>111</v>
      </c>
      <c r="D23" s="32" t="s">
        <v>26</v>
      </c>
      <c r="E23" s="32"/>
      <c r="F23" s="32" t="s">
        <v>78</v>
      </c>
      <c r="G23" s="32"/>
      <c r="H23" s="32" t="s">
        <v>28</v>
      </c>
      <c r="I23" s="49">
        <v>1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64">
        <v>0.5</v>
      </c>
      <c r="S23" s="49">
        <v>0</v>
      </c>
      <c r="T23" s="49">
        <v>0</v>
      </c>
      <c r="U23" s="49">
        <v>0</v>
      </c>
      <c r="V23" s="50">
        <f t="shared" si="2"/>
        <v>0.5</v>
      </c>
      <c r="AMJ23" s="27"/>
    </row>
    <row r="24" spans="1:1024" s="65" customFormat="1" ht="32.450000000000003" customHeight="1" x14ac:dyDescent="0.2">
      <c r="A24" s="47" t="s">
        <v>109</v>
      </c>
      <c r="B24" s="32" t="s">
        <v>113</v>
      </c>
      <c r="C24" s="56" t="s">
        <v>111</v>
      </c>
      <c r="D24" s="32" t="s">
        <v>26</v>
      </c>
      <c r="E24" s="32"/>
      <c r="F24" s="32" t="s">
        <v>78</v>
      </c>
      <c r="G24" s="32"/>
      <c r="H24" s="32" t="s">
        <v>28</v>
      </c>
      <c r="I24" s="49">
        <v>1</v>
      </c>
      <c r="J24" s="49">
        <v>0</v>
      </c>
      <c r="K24" s="49">
        <v>0</v>
      </c>
      <c r="L24" s="49">
        <v>0.4</v>
      </c>
      <c r="M24" s="49">
        <v>0</v>
      </c>
      <c r="N24" s="49">
        <v>0</v>
      </c>
      <c r="O24" s="49">
        <v>0</v>
      </c>
      <c r="P24" s="49">
        <v>0</v>
      </c>
      <c r="Q24" s="49">
        <v>0.4</v>
      </c>
      <c r="R24" s="64">
        <v>0</v>
      </c>
      <c r="S24" s="49">
        <v>0</v>
      </c>
      <c r="T24" s="49">
        <v>0</v>
      </c>
      <c r="U24" s="49">
        <v>0</v>
      </c>
      <c r="V24" s="50">
        <f t="shared" si="2"/>
        <v>0.8</v>
      </c>
      <c r="AMJ24" s="27"/>
    </row>
    <row r="25" spans="1:1024" s="65" customFormat="1" ht="45" x14ac:dyDescent="0.2">
      <c r="A25" s="47" t="s">
        <v>109</v>
      </c>
      <c r="B25" s="32" t="s">
        <v>114</v>
      </c>
      <c r="C25" s="56" t="s">
        <v>111</v>
      </c>
      <c r="D25" s="32" t="s">
        <v>26</v>
      </c>
      <c r="E25" s="32"/>
      <c r="F25" s="32" t="s">
        <v>78</v>
      </c>
      <c r="G25" s="32"/>
      <c r="H25" s="32" t="s">
        <v>28</v>
      </c>
      <c r="I25" s="49">
        <v>1</v>
      </c>
      <c r="J25" s="49">
        <v>0</v>
      </c>
      <c r="K25" s="49">
        <v>0</v>
      </c>
      <c r="L25" s="49">
        <v>0.3</v>
      </c>
      <c r="M25" s="49">
        <v>0</v>
      </c>
      <c r="N25" s="49">
        <v>0</v>
      </c>
      <c r="O25" s="49">
        <v>0</v>
      </c>
      <c r="P25" s="49">
        <v>0.5</v>
      </c>
      <c r="Q25" s="49">
        <v>0</v>
      </c>
      <c r="R25" s="64">
        <v>0</v>
      </c>
      <c r="S25" s="49">
        <v>0</v>
      </c>
      <c r="T25" s="49">
        <v>0</v>
      </c>
      <c r="U25" s="49">
        <v>0</v>
      </c>
      <c r="V25" s="50">
        <f t="shared" si="2"/>
        <v>0.8</v>
      </c>
      <c r="AMJ25" s="27"/>
    </row>
    <row r="26" spans="1:1024" s="65" customFormat="1" ht="45" x14ac:dyDescent="0.2">
      <c r="A26" s="47" t="s">
        <v>109</v>
      </c>
      <c r="B26" s="32" t="s">
        <v>115</v>
      </c>
      <c r="C26" s="56" t="s">
        <v>111</v>
      </c>
      <c r="D26" s="32" t="s">
        <v>26</v>
      </c>
      <c r="E26" s="32"/>
      <c r="F26" s="32" t="s">
        <v>78</v>
      </c>
      <c r="G26" s="32"/>
      <c r="H26" s="32" t="s">
        <v>28</v>
      </c>
      <c r="I26" s="49">
        <v>1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64">
        <v>0</v>
      </c>
      <c r="S26" s="49">
        <v>0</v>
      </c>
      <c r="T26" s="49">
        <v>0</v>
      </c>
      <c r="U26" s="49">
        <v>0</v>
      </c>
      <c r="V26" s="50">
        <f t="shared" si="2"/>
        <v>0</v>
      </c>
      <c r="AMJ26" s="27"/>
    </row>
    <row r="27" spans="1:1024" ht="35.65" customHeight="1" x14ac:dyDescent="0.25">
      <c r="A27" s="47" t="s">
        <v>48</v>
      </c>
      <c r="B27" s="32" t="s">
        <v>116</v>
      </c>
      <c r="C27" s="33" t="s">
        <v>117</v>
      </c>
      <c r="D27" s="32" t="s">
        <v>26</v>
      </c>
      <c r="E27" s="32"/>
      <c r="F27" s="32"/>
      <c r="G27" s="32"/>
      <c r="H27" s="32" t="s">
        <v>28</v>
      </c>
      <c r="I27" s="49">
        <v>0.9</v>
      </c>
      <c r="J27" s="49">
        <v>0.08</v>
      </c>
      <c r="K27" s="49">
        <v>0</v>
      </c>
      <c r="L27" s="49">
        <v>0.3</v>
      </c>
      <c r="M27" s="34">
        <v>0.08</v>
      </c>
      <c r="N27" s="34">
        <v>0.06</v>
      </c>
      <c r="O27" s="34">
        <v>0.08</v>
      </c>
      <c r="P27" s="34">
        <v>7.0000000000000007E-2</v>
      </c>
      <c r="Q27" s="34">
        <v>0.08</v>
      </c>
      <c r="R27" s="35">
        <v>0.05</v>
      </c>
      <c r="S27" s="49">
        <v>0</v>
      </c>
      <c r="T27" s="49">
        <v>0</v>
      </c>
      <c r="U27" s="49">
        <v>0</v>
      </c>
      <c r="V27" s="50">
        <f t="shared" si="2"/>
        <v>0.79999999999999993</v>
      </c>
    </row>
    <row r="28" spans="1:1024" ht="28.7" customHeight="1" x14ac:dyDescent="0.25">
      <c r="A28" s="47" t="s">
        <v>48</v>
      </c>
      <c r="B28" s="32" t="s">
        <v>118</v>
      </c>
      <c r="C28" s="33" t="s">
        <v>119</v>
      </c>
      <c r="D28" s="32" t="s">
        <v>26</v>
      </c>
      <c r="E28" s="32"/>
      <c r="F28" s="32"/>
      <c r="G28" s="32"/>
      <c r="H28" s="32" t="s">
        <v>28</v>
      </c>
      <c r="I28" s="49">
        <v>0.9</v>
      </c>
      <c r="J28" s="49">
        <v>7.4999999999999997E-2</v>
      </c>
      <c r="K28" s="49">
        <v>0.08</v>
      </c>
      <c r="L28" s="49">
        <v>0.08</v>
      </c>
      <c r="M28" s="34">
        <v>0</v>
      </c>
      <c r="N28" s="34">
        <v>0.11</v>
      </c>
      <c r="O28" s="34">
        <v>0.08</v>
      </c>
      <c r="P28" s="34">
        <v>0.08</v>
      </c>
      <c r="Q28" s="34">
        <v>0.1</v>
      </c>
      <c r="R28" s="35">
        <v>0.09</v>
      </c>
      <c r="S28" s="49">
        <v>0</v>
      </c>
      <c r="T28" s="49">
        <v>0</v>
      </c>
      <c r="U28" s="49">
        <v>0</v>
      </c>
      <c r="V28" s="50">
        <f t="shared" si="2"/>
        <v>0.69499999999999995</v>
      </c>
    </row>
    <row r="29" spans="1:1024" ht="38.25" customHeight="1" x14ac:dyDescent="0.25">
      <c r="A29" s="47" t="s">
        <v>48</v>
      </c>
      <c r="B29" s="32" t="s">
        <v>120</v>
      </c>
      <c r="C29" s="33" t="s">
        <v>121</v>
      </c>
      <c r="D29" s="32" t="s">
        <v>26</v>
      </c>
      <c r="E29" s="32"/>
      <c r="F29" s="32"/>
      <c r="G29" s="32"/>
      <c r="H29" s="32" t="s">
        <v>28</v>
      </c>
      <c r="I29" s="49">
        <v>0.95</v>
      </c>
      <c r="J29" s="49">
        <v>0</v>
      </c>
      <c r="K29" s="49">
        <v>0</v>
      </c>
      <c r="L29" s="49">
        <v>0</v>
      </c>
      <c r="M29" s="34">
        <v>0</v>
      </c>
      <c r="N29" s="34">
        <v>0</v>
      </c>
      <c r="O29" s="34">
        <v>0.05</v>
      </c>
      <c r="P29" s="34">
        <v>0</v>
      </c>
      <c r="Q29" s="34">
        <v>0</v>
      </c>
      <c r="R29" s="35">
        <v>0</v>
      </c>
      <c r="S29" s="49">
        <v>0</v>
      </c>
      <c r="T29" s="49">
        <v>0</v>
      </c>
      <c r="U29" s="49">
        <v>0</v>
      </c>
      <c r="V29" s="50">
        <f t="shared" si="2"/>
        <v>0.05</v>
      </c>
    </row>
    <row r="30" spans="1:1024" ht="54" customHeight="1" x14ac:dyDescent="0.25">
      <c r="A30" s="47" t="s">
        <v>48</v>
      </c>
      <c r="B30" s="32" t="s">
        <v>122</v>
      </c>
      <c r="C30" s="33" t="s">
        <v>123</v>
      </c>
      <c r="D30" s="32" t="s">
        <v>26</v>
      </c>
      <c r="E30" s="32"/>
      <c r="F30" s="32"/>
      <c r="G30" s="32"/>
      <c r="H30" s="32" t="s">
        <v>28</v>
      </c>
      <c r="I30" s="49">
        <v>0.9</v>
      </c>
      <c r="J30" s="49">
        <v>0</v>
      </c>
      <c r="K30" s="49">
        <v>0</v>
      </c>
      <c r="L30" s="49">
        <v>0</v>
      </c>
      <c r="M30" s="34">
        <v>0</v>
      </c>
      <c r="N30" s="34">
        <v>0</v>
      </c>
      <c r="O30" s="34">
        <v>0</v>
      </c>
      <c r="P30" s="34">
        <v>0.05</v>
      </c>
      <c r="Q30" s="34">
        <v>0.05</v>
      </c>
      <c r="R30" s="35">
        <v>0.15</v>
      </c>
      <c r="S30" s="49">
        <v>0</v>
      </c>
      <c r="T30" s="49">
        <v>0</v>
      </c>
      <c r="U30" s="49">
        <v>0</v>
      </c>
      <c r="V30" s="50">
        <f t="shared" si="2"/>
        <v>0.25</v>
      </c>
    </row>
    <row r="31" spans="1:1024" ht="101.25" x14ac:dyDescent="0.25">
      <c r="A31" s="66" t="s">
        <v>124</v>
      </c>
      <c r="B31" s="67" t="s">
        <v>125</v>
      </c>
      <c r="C31" s="32" t="s">
        <v>126</v>
      </c>
      <c r="D31" s="32" t="s">
        <v>26</v>
      </c>
      <c r="E31" s="32" t="s">
        <v>27</v>
      </c>
      <c r="F31" s="32" t="s">
        <v>27</v>
      </c>
      <c r="G31" s="32"/>
      <c r="H31" s="32" t="s">
        <v>28</v>
      </c>
      <c r="I31" s="49">
        <v>1</v>
      </c>
      <c r="J31" s="49">
        <v>0</v>
      </c>
      <c r="K31" s="49">
        <v>0</v>
      </c>
      <c r="L31" s="49">
        <v>0</v>
      </c>
      <c r="M31" s="35">
        <v>0.15</v>
      </c>
      <c r="N31" s="35">
        <v>0.1</v>
      </c>
      <c r="O31" s="35">
        <v>0.1</v>
      </c>
      <c r="P31" s="35">
        <v>0.1</v>
      </c>
      <c r="Q31" s="35">
        <v>0.2</v>
      </c>
      <c r="R31" s="35">
        <v>0.25</v>
      </c>
      <c r="S31" s="49">
        <v>0</v>
      </c>
      <c r="T31" s="49">
        <v>0</v>
      </c>
      <c r="U31" s="49">
        <v>0</v>
      </c>
      <c r="V31" s="50">
        <f t="shared" si="2"/>
        <v>0.89999999999999991</v>
      </c>
    </row>
    <row r="32" spans="1:1024" ht="45" x14ac:dyDescent="0.25">
      <c r="A32" s="66" t="s">
        <v>124</v>
      </c>
      <c r="B32" s="67" t="s">
        <v>127</v>
      </c>
      <c r="C32" s="32" t="s">
        <v>128</v>
      </c>
      <c r="D32" s="32" t="s">
        <v>26</v>
      </c>
      <c r="E32" s="32" t="s">
        <v>27</v>
      </c>
      <c r="F32" s="32" t="s">
        <v>27</v>
      </c>
      <c r="G32" s="32"/>
      <c r="H32" s="32" t="s">
        <v>28</v>
      </c>
      <c r="I32" s="49">
        <v>1</v>
      </c>
      <c r="J32" s="49">
        <v>0</v>
      </c>
      <c r="K32" s="49">
        <v>0.08</v>
      </c>
      <c r="L32" s="49">
        <v>0.08</v>
      </c>
      <c r="M32" s="35">
        <v>0.08</v>
      </c>
      <c r="N32" s="35">
        <v>0.15</v>
      </c>
      <c r="O32" s="35">
        <v>0.08</v>
      </c>
      <c r="P32" s="35">
        <v>0.08</v>
      </c>
      <c r="Q32" s="35">
        <v>0.08</v>
      </c>
      <c r="R32" s="35">
        <v>0.08</v>
      </c>
      <c r="S32" s="49">
        <v>0</v>
      </c>
      <c r="T32" s="49">
        <v>0</v>
      </c>
      <c r="U32" s="49">
        <v>0</v>
      </c>
      <c r="V32" s="50">
        <f t="shared" si="2"/>
        <v>0.71</v>
      </c>
    </row>
    <row r="33" spans="1:22" ht="33.75" customHeight="1" x14ac:dyDescent="0.25">
      <c r="A33" s="66" t="s">
        <v>124</v>
      </c>
      <c r="B33" s="67" t="s">
        <v>129</v>
      </c>
      <c r="C33" s="32" t="s">
        <v>130</v>
      </c>
      <c r="D33" s="32" t="s">
        <v>26</v>
      </c>
      <c r="E33" s="32" t="s">
        <v>27</v>
      </c>
      <c r="F33" s="32" t="s">
        <v>27</v>
      </c>
      <c r="G33" s="32"/>
      <c r="H33" s="32" t="s">
        <v>28</v>
      </c>
      <c r="I33" s="49">
        <v>1</v>
      </c>
      <c r="J33" s="49">
        <v>0.1</v>
      </c>
      <c r="K33" s="49">
        <v>0.1</v>
      </c>
      <c r="L33" s="49">
        <v>0.1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49">
        <v>0</v>
      </c>
      <c r="T33" s="49">
        <v>0</v>
      </c>
      <c r="U33" s="49">
        <v>0</v>
      </c>
      <c r="V33" s="50">
        <f t="shared" si="2"/>
        <v>0.30000000000000004</v>
      </c>
    </row>
    <row r="34" spans="1:22" ht="67.5" x14ac:dyDescent="0.25">
      <c r="A34" s="66" t="s">
        <v>124</v>
      </c>
      <c r="B34" s="67" t="s">
        <v>131</v>
      </c>
      <c r="C34" s="32" t="s">
        <v>132</v>
      </c>
      <c r="D34" s="32" t="s">
        <v>30</v>
      </c>
      <c r="E34" s="32"/>
      <c r="F34" s="32" t="s">
        <v>27</v>
      </c>
      <c r="G34" s="32"/>
      <c r="H34" s="32" t="s">
        <v>28</v>
      </c>
      <c r="I34" s="49">
        <v>1</v>
      </c>
      <c r="J34" s="49">
        <v>0.1</v>
      </c>
      <c r="K34" s="49">
        <v>0.15</v>
      </c>
      <c r="L34" s="49">
        <v>0</v>
      </c>
      <c r="M34" s="35">
        <v>0</v>
      </c>
      <c r="N34" s="35">
        <v>0</v>
      </c>
      <c r="O34" s="35">
        <v>0.1</v>
      </c>
      <c r="P34" s="35">
        <v>0</v>
      </c>
      <c r="Q34" s="35">
        <v>0</v>
      </c>
      <c r="R34" s="35">
        <v>0.2</v>
      </c>
      <c r="S34" s="49">
        <v>0</v>
      </c>
      <c r="T34" s="49">
        <v>0</v>
      </c>
      <c r="U34" s="49">
        <v>0</v>
      </c>
      <c r="V34" s="50">
        <f t="shared" si="2"/>
        <v>0.55000000000000004</v>
      </c>
    </row>
    <row r="35" spans="1:22" ht="68.25" customHeight="1" x14ac:dyDescent="0.25">
      <c r="A35" s="68" t="s">
        <v>124</v>
      </c>
      <c r="B35" s="69" t="s">
        <v>133</v>
      </c>
      <c r="C35" s="69" t="s">
        <v>134</v>
      </c>
      <c r="D35" s="70" t="s">
        <v>26</v>
      </c>
      <c r="E35" s="70" t="s">
        <v>27</v>
      </c>
      <c r="F35" s="70" t="s">
        <v>27</v>
      </c>
      <c r="G35" s="70"/>
      <c r="H35" s="70" t="s">
        <v>28</v>
      </c>
      <c r="I35" s="35">
        <v>1</v>
      </c>
      <c r="J35" s="35">
        <v>0</v>
      </c>
      <c r="K35" s="35">
        <v>0</v>
      </c>
      <c r="L35" s="35">
        <v>0</v>
      </c>
      <c r="M35" s="35">
        <v>0.11</v>
      </c>
      <c r="N35" s="35">
        <v>0.11</v>
      </c>
      <c r="O35" s="35">
        <v>0.11</v>
      </c>
      <c r="P35" s="35">
        <v>0.11</v>
      </c>
      <c r="Q35" s="35">
        <v>0.11</v>
      </c>
      <c r="R35" s="35">
        <v>0.11</v>
      </c>
      <c r="S35" s="49">
        <v>0</v>
      </c>
      <c r="T35" s="49">
        <v>0</v>
      </c>
      <c r="U35" s="49">
        <v>0</v>
      </c>
      <c r="V35" s="50">
        <f t="shared" si="2"/>
        <v>0.66</v>
      </c>
    </row>
    <row r="36" spans="1:22" ht="43.15" customHeight="1" x14ac:dyDescent="0.25">
      <c r="A36" s="31" t="s">
        <v>51</v>
      </c>
      <c r="B36" s="71" t="s">
        <v>52</v>
      </c>
      <c r="C36" s="72"/>
      <c r="D36" s="73" t="s">
        <v>26</v>
      </c>
      <c r="E36" s="33" t="s">
        <v>27</v>
      </c>
      <c r="F36" s="33" t="s">
        <v>78</v>
      </c>
      <c r="G36" s="33"/>
      <c r="H36" s="33" t="s">
        <v>28</v>
      </c>
      <c r="I36" s="34">
        <v>1</v>
      </c>
      <c r="J36" s="34">
        <v>1</v>
      </c>
      <c r="K36" s="34">
        <v>1</v>
      </c>
      <c r="L36" s="34">
        <v>1</v>
      </c>
      <c r="M36" s="34">
        <v>1</v>
      </c>
      <c r="N36" s="34">
        <v>1</v>
      </c>
      <c r="O36" s="34">
        <v>1</v>
      </c>
      <c r="P36" s="34">
        <v>1</v>
      </c>
      <c r="Q36" s="34">
        <v>1</v>
      </c>
      <c r="R36" s="35">
        <v>1</v>
      </c>
      <c r="S36" s="34">
        <v>0</v>
      </c>
      <c r="T36" s="34">
        <v>0</v>
      </c>
      <c r="U36" s="34">
        <v>0</v>
      </c>
      <c r="V36" s="36">
        <v>0.8</v>
      </c>
    </row>
    <row r="37" spans="1:22" ht="55.7" customHeight="1" x14ac:dyDescent="0.25">
      <c r="A37" s="31" t="s">
        <v>51</v>
      </c>
      <c r="B37" s="71" t="s">
        <v>135</v>
      </c>
      <c r="C37" s="72"/>
      <c r="D37" s="73" t="s">
        <v>26</v>
      </c>
      <c r="E37" s="33" t="s">
        <v>78</v>
      </c>
      <c r="F37" s="33" t="s">
        <v>78</v>
      </c>
      <c r="G37" s="33"/>
      <c r="H37" s="33" t="s">
        <v>28</v>
      </c>
      <c r="I37" s="34">
        <v>1</v>
      </c>
      <c r="J37" s="34">
        <v>1</v>
      </c>
      <c r="K37" s="34">
        <v>1</v>
      </c>
      <c r="L37" s="34">
        <v>1</v>
      </c>
      <c r="M37" s="34">
        <v>1</v>
      </c>
      <c r="N37" s="34">
        <v>1</v>
      </c>
      <c r="O37" s="34">
        <v>1</v>
      </c>
      <c r="P37" s="34">
        <v>1</v>
      </c>
      <c r="Q37" s="34">
        <v>1</v>
      </c>
      <c r="R37" s="35">
        <v>1</v>
      </c>
      <c r="S37" s="34">
        <v>0</v>
      </c>
      <c r="T37" s="34">
        <v>0</v>
      </c>
      <c r="U37" s="34">
        <v>0</v>
      </c>
      <c r="V37" s="36">
        <v>0.8</v>
      </c>
    </row>
    <row r="38" spans="1:22" ht="36" customHeight="1" x14ac:dyDescent="0.25">
      <c r="A38" s="31" t="s">
        <v>51</v>
      </c>
      <c r="B38" s="71" t="s">
        <v>136</v>
      </c>
      <c r="C38" s="72"/>
      <c r="D38" s="73" t="s">
        <v>26</v>
      </c>
      <c r="E38" s="33" t="s">
        <v>78</v>
      </c>
      <c r="F38" s="33" t="s">
        <v>78</v>
      </c>
      <c r="G38" s="33"/>
      <c r="H38" s="33" t="s">
        <v>28</v>
      </c>
      <c r="I38" s="34">
        <v>1</v>
      </c>
      <c r="J38" s="34">
        <v>1</v>
      </c>
      <c r="K38" s="34">
        <v>1</v>
      </c>
      <c r="L38" s="34">
        <v>1</v>
      </c>
      <c r="M38" s="34">
        <v>1</v>
      </c>
      <c r="N38" s="34">
        <v>1</v>
      </c>
      <c r="O38" s="34">
        <v>1</v>
      </c>
      <c r="P38" s="34">
        <v>1</v>
      </c>
      <c r="Q38" s="34">
        <v>1</v>
      </c>
      <c r="R38" s="35">
        <v>1</v>
      </c>
      <c r="S38" s="34">
        <v>0</v>
      </c>
      <c r="T38" s="34">
        <v>0</v>
      </c>
      <c r="U38" s="34">
        <v>0</v>
      </c>
      <c r="V38" s="36">
        <v>0.8</v>
      </c>
    </row>
    <row r="39" spans="1:22" ht="43.5" customHeight="1" x14ac:dyDescent="0.25">
      <c r="A39" s="31" t="s">
        <v>137</v>
      </c>
      <c r="B39" s="71" t="s">
        <v>138</v>
      </c>
      <c r="C39" s="72"/>
      <c r="D39" s="73" t="s">
        <v>26</v>
      </c>
      <c r="E39" s="33" t="s">
        <v>78</v>
      </c>
      <c r="F39" s="33"/>
      <c r="G39" s="33"/>
      <c r="H39" s="33" t="s">
        <v>28</v>
      </c>
      <c r="I39" s="34">
        <v>1</v>
      </c>
      <c r="J39" s="74">
        <v>8.3299999999999999E-2</v>
      </c>
      <c r="K39" s="74">
        <v>8.3299999999999999E-2</v>
      </c>
      <c r="L39" s="74">
        <v>8.3299999999999999E-2</v>
      </c>
      <c r="M39" s="74">
        <v>8.3299999999999999E-2</v>
      </c>
      <c r="N39" s="74">
        <v>8.3299999999999999E-2</v>
      </c>
      <c r="O39" s="74">
        <v>8.3299999999999999E-2</v>
      </c>
      <c r="P39" s="74">
        <v>8.3299999999999999E-2</v>
      </c>
      <c r="Q39" s="74">
        <v>8.3299999999999999E-2</v>
      </c>
      <c r="R39" s="45">
        <v>8.3299999999999999E-2</v>
      </c>
      <c r="S39" s="34">
        <v>0</v>
      </c>
      <c r="T39" s="34">
        <v>0</v>
      </c>
      <c r="U39" s="34">
        <v>0</v>
      </c>
      <c r="V39" s="36">
        <f>SUM(J39:U39)</f>
        <v>0.74970000000000003</v>
      </c>
    </row>
    <row r="40" spans="1:22" ht="36" customHeight="1" x14ac:dyDescent="0.25">
      <c r="A40" s="31" t="s">
        <v>137</v>
      </c>
      <c r="B40" s="71" t="s">
        <v>139</v>
      </c>
      <c r="C40" s="72"/>
      <c r="D40" s="73" t="s">
        <v>26</v>
      </c>
      <c r="E40" s="33" t="s">
        <v>78</v>
      </c>
      <c r="F40" s="33"/>
      <c r="G40" s="33"/>
      <c r="H40" s="33" t="s">
        <v>28</v>
      </c>
      <c r="I40" s="34">
        <v>1</v>
      </c>
      <c r="J40" s="74">
        <v>8.3299999999999999E-2</v>
      </c>
      <c r="K40" s="74">
        <v>8.3299999999999999E-2</v>
      </c>
      <c r="L40" s="74">
        <v>8.3299999999999999E-2</v>
      </c>
      <c r="M40" s="74">
        <v>8.3299999999999999E-2</v>
      </c>
      <c r="N40" s="74">
        <v>8.3299999999999999E-2</v>
      </c>
      <c r="O40" s="74">
        <v>8.3299999999999999E-2</v>
      </c>
      <c r="P40" s="74">
        <v>8.3299999999999999E-2</v>
      </c>
      <c r="Q40" s="74">
        <v>8.3299999999999999E-2</v>
      </c>
      <c r="R40" s="45">
        <v>8.3299999999999999E-2</v>
      </c>
      <c r="S40" s="34">
        <v>0</v>
      </c>
      <c r="T40" s="34">
        <v>0</v>
      </c>
      <c r="U40" s="34">
        <v>0</v>
      </c>
      <c r="V40" s="36">
        <f>SUM(J40:U40)</f>
        <v>0.74970000000000003</v>
      </c>
    </row>
    <row r="41" spans="1:22" ht="60" customHeight="1" x14ac:dyDescent="0.25">
      <c r="A41" s="31" t="s">
        <v>137</v>
      </c>
      <c r="B41" s="71" t="s">
        <v>140</v>
      </c>
      <c r="C41" s="72"/>
      <c r="D41" s="73" t="s">
        <v>26</v>
      </c>
      <c r="E41" s="33" t="s">
        <v>78</v>
      </c>
      <c r="F41" s="33" t="s">
        <v>78</v>
      </c>
      <c r="G41" s="33"/>
      <c r="H41" s="33" t="s">
        <v>28</v>
      </c>
      <c r="I41" s="34">
        <v>1</v>
      </c>
      <c r="J41" s="74">
        <v>8.3299999999999999E-2</v>
      </c>
      <c r="K41" s="74">
        <v>8.3299999999999999E-2</v>
      </c>
      <c r="L41" s="74">
        <v>8.3299999999999999E-2</v>
      </c>
      <c r="M41" s="74">
        <v>8.3299999999999999E-2</v>
      </c>
      <c r="N41" s="74">
        <v>8.3299999999999999E-2</v>
      </c>
      <c r="O41" s="74">
        <v>8.3299999999999999E-2</v>
      </c>
      <c r="P41" s="74">
        <v>8.3299999999999999E-2</v>
      </c>
      <c r="Q41" s="74">
        <v>8.3299999999999999E-2</v>
      </c>
      <c r="R41" s="45">
        <v>8.3299999999999999E-2</v>
      </c>
      <c r="S41" s="34">
        <v>0</v>
      </c>
      <c r="T41" s="34">
        <v>0</v>
      </c>
      <c r="U41" s="34">
        <v>0</v>
      </c>
      <c r="V41" s="36">
        <f>SUM(J41:U41)</f>
        <v>0.74970000000000003</v>
      </c>
    </row>
    <row r="42" spans="1:22" ht="50.25" customHeight="1" x14ac:dyDescent="0.25">
      <c r="A42" s="31" t="s">
        <v>137</v>
      </c>
      <c r="B42" s="71" t="s">
        <v>141</v>
      </c>
      <c r="C42" s="72"/>
      <c r="D42" s="73" t="s">
        <v>26</v>
      </c>
      <c r="E42" s="33"/>
      <c r="F42" s="33" t="s">
        <v>78</v>
      </c>
      <c r="G42" s="33"/>
      <c r="H42" s="33" t="s">
        <v>28</v>
      </c>
      <c r="I42" s="84" t="s">
        <v>142</v>
      </c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</row>
    <row r="43" spans="1:22" ht="47.45" customHeight="1" x14ac:dyDescent="0.25">
      <c r="A43" s="31" t="s">
        <v>57</v>
      </c>
      <c r="B43" s="32" t="s">
        <v>143</v>
      </c>
      <c r="C43" s="72"/>
      <c r="D43" s="75" t="s">
        <v>30</v>
      </c>
      <c r="E43" s="33" t="s">
        <v>27</v>
      </c>
      <c r="F43" s="33"/>
      <c r="G43" s="33"/>
      <c r="H43" s="33" t="s">
        <v>28</v>
      </c>
      <c r="I43" s="34">
        <v>1</v>
      </c>
      <c r="J43" s="34">
        <v>0.1</v>
      </c>
      <c r="K43" s="34">
        <v>0.1</v>
      </c>
      <c r="L43" s="34">
        <v>0.1</v>
      </c>
      <c r="M43" s="34">
        <v>0</v>
      </c>
      <c r="N43" s="34">
        <v>0.1</v>
      </c>
      <c r="O43" s="34">
        <v>0.1</v>
      </c>
      <c r="P43" s="34">
        <v>0.1</v>
      </c>
      <c r="Q43" s="34">
        <v>0.1</v>
      </c>
      <c r="R43" s="35">
        <v>0.1</v>
      </c>
      <c r="S43" s="34">
        <v>0</v>
      </c>
      <c r="T43" s="34">
        <v>0</v>
      </c>
      <c r="U43" s="34">
        <v>0</v>
      </c>
      <c r="V43" s="36">
        <f t="shared" ref="V43:V51" si="3">SUM(J43:U43)</f>
        <v>0.79999999999999993</v>
      </c>
    </row>
    <row r="44" spans="1:22" ht="36" customHeight="1" x14ac:dyDescent="0.25">
      <c r="A44" s="31" t="s">
        <v>57</v>
      </c>
      <c r="B44" s="32" t="s">
        <v>144</v>
      </c>
      <c r="C44" s="72"/>
      <c r="D44" s="33" t="s">
        <v>30</v>
      </c>
      <c r="E44" s="33" t="s">
        <v>27</v>
      </c>
      <c r="F44" s="33"/>
      <c r="G44" s="33"/>
      <c r="H44" s="33" t="s">
        <v>28</v>
      </c>
      <c r="I44" s="34">
        <v>1</v>
      </c>
      <c r="J44" s="34">
        <v>0.1</v>
      </c>
      <c r="K44" s="34">
        <v>0.1</v>
      </c>
      <c r="L44" s="34">
        <v>0.1</v>
      </c>
      <c r="M44" s="34">
        <v>0</v>
      </c>
      <c r="N44" s="34">
        <v>0.1</v>
      </c>
      <c r="O44" s="34">
        <v>0</v>
      </c>
      <c r="P44" s="34">
        <v>0</v>
      </c>
      <c r="Q44" s="34">
        <v>0.4</v>
      </c>
      <c r="R44" s="35">
        <v>0</v>
      </c>
      <c r="S44" s="34">
        <v>0</v>
      </c>
      <c r="T44" s="34">
        <v>0</v>
      </c>
      <c r="U44" s="34">
        <v>0</v>
      </c>
      <c r="V44" s="36">
        <f t="shared" si="3"/>
        <v>0.8</v>
      </c>
    </row>
    <row r="45" spans="1:22" ht="46.15" customHeight="1" x14ac:dyDescent="0.25">
      <c r="A45" s="31" t="s">
        <v>57</v>
      </c>
      <c r="B45" s="32" t="s">
        <v>145</v>
      </c>
      <c r="C45" s="76"/>
      <c r="D45" s="33" t="s">
        <v>30</v>
      </c>
      <c r="E45" s="33" t="s">
        <v>27</v>
      </c>
      <c r="F45" s="33"/>
      <c r="G45" s="33"/>
      <c r="H45" s="33" t="s">
        <v>28</v>
      </c>
      <c r="I45" s="34">
        <v>1</v>
      </c>
      <c r="J45" s="34">
        <f>0/46390</f>
        <v>0</v>
      </c>
      <c r="K45" s="34">
        <f>0/46390</f>
        <v>0</v>
      </c>
      <c r="L45" s="34">
        <f>0/46390</f>
        <v>0</v>
      </c>
      <c r="M45" s="34">
        <v>0</v>
      </c>
      <c r="N45" s="34">
        <v>0</v>
      </c>
      <c r="O45" s="34">
        <v>0</v>
      </c>
      <c r="P45" s="34">
        <v>0</v>
      </c>
      <c r="Q45" s="34">
        <v>0</v>
      </c>
      <c r="R45" s="35">
        <v>0</v>
      </c>
      <c r="S45" s="34">
        <v>0</v>
      </c>
      <c r="T45" s="34">
        <v>0</v>
      </c>
      <c r="U45" s="34">
        <v>0</v>
      </c>
      <c r="V45" s="58">
        <f t="shared" si="3"/>
        <v>0</v>
      </c>
    </row>
    <row r="46" spans="1:22" ht="43.5" customHeight="1" x14ac:dyDescent="0.25">
      <c r="A46" s="31" t="s">
        <v>57</v>
      </c>
      <c r="B46" s="32" t="s">
        <v>146</v>
      </c>
      <c r="C46" s="76"/>
      <c r="D46" s="33" t="s">
        <v>30</v>
      </c>
      <c r="E46" s="33" t="s">
        <v>27</v>
      </c>
      <c r="F46" s="33"/>
      <c r="G46" s="33"/>
      <c r="H46" s="33" t="s">
        <v>28</v>
      </c>
      <c r="I46" s="34">
        <v>1</v>
      </c>
      <c r="J46" s="34">
        <v>0</v>
      </c>
      <c r="K46" s="34">
        <f>0/46390</f>
        <v>0</v>
      </c>
      <c r="L46" s="34">
        <v>0.3</v>
      </c>
      <c r="M46" s="34">
        <v>0</v>
      </c>
      <c r="N46" s="34">
        <v>0</v>
      </c>
      <c r="O46" s="34">
        <v>0</v>
      </c>
      <c r="P46" s="34">
        <v>0.4</v>
      </c>
      <c r="Q46" s="34">
        <v>0.1</v>
      </c>
      <c r="R46" s="35">
        <v>0.1</v>
      </c>
      <c r="S46" s="34">
        <v>0</v>
      </c>
      <c r="T46" s="34">
        <v>0</v>
      </c>
      <c r="U46" s="34">
        <v>0</v>
      </c>
      <c r="V46" s="58">
        <f t="shared" si="3"/>
        <v>0.89999999999999991</v>
      </c>
    </row>
    <row r="47" spans="1:22" ht="39.75" customHeight="1" x14ac:dyDescent="0.25">
      <c r="A47" s="31" t="s">
        <v>57</v>
      </c>
      <c r="B47" s="32" t="s">
        <v>147</v>
      </c>
      <c r="C47" s="76"/>
      <c r="D47" s="33" t="s">
        <v>30</v>
      </c>
      <c r="E47" s="33" t="s">
        <v>27</v>
      </c>
      <c r="F47" s="33"/>
      <c r="G47" s="33"/>
      <c r="H47" s="33" t="s">
        <v>28</v>
      </c>
      <c r="I47" s="34">
        <v>1</v>
      </c>
      <c r="J47" s="34">
        <v>0.1</v>
      </c>
      <c r="K47" s="34">
        <v>0.1</v>
      </c>
      <c r="L47" s="34">
        <v>0.1</v>
      </c>
      <c r="M47" s="34">
        <v>0.1</v>
      </c>
      <c r="N47" s="34">
        <v>0.1</v>
      </c>
      <c r="O47" s="34">
        <v>0.1</v>
      </c>
      <c r="P47" s="34">
        <v>0.1</v>
      </c>
      <c r="Q47" s="34">
        <v>0.1</v>
      </c>
      <c r="R47" s="35">
        <v>0.1</v>
      </c>
      <c r="S47" s="34">
        <v>0</v>
      </c>
      <c r="T47" s="34">
        <v>0</v>
      </c>
      <c r="U47" s="34">
        <v>0</v>
      </c>
      <c r="V47" s="58">
        <f t="shared" si="3"/>
        <v>0.89999999999999991</v>
      </c>
    </row>
    <row r="48" spans="1:22" ht="56.85" customHeight="1" x14ac:dyDescent="0.25">
      <c r="A48" s="31" t="s">
        <v>148</v>
      </c>
      <c r="B48" s="77" t="s">
        <v>149</v>
      </c>
      <c r="C48" s="77" t="s">
        <v>150</v>
      </c>
      <c r="D48" s="77"/>
      <c r="E48" s="77"/>
      <c r="F48" s="77" t="s">
        <v>78</v>
      </c>
      <c r="G48" s="77"/>
      <c r="H48" s="77" t="s">
        <v>28</v>
      </c>
      <c r="I48" s="77" t="s">
        <v>151</v>
      </c>
      <c r="J48" s="78" t="s">
        <v>152</v>
      </c>
      <c r="K48" s="79">
        <v>0.05</v>
      </c>
      <c r="L48" s="79">
        <v>0.1</v>
      </c>
      <c r="M48" s="79">
        <v>0.1</v>
      </c>
      <c r="N48" s="74">
        <v>0.4</v>
      </c>
      <c r="O48" s="74">
        <v>0.05</v>
      </c>
      <c r="P48" s="74">
        <v>0.05</v>
      </c>
      <c r="Q48" s="74">
        <v>0.05</v>
      </c>
      <c r="R48" s="35">
        <v>0.05</v>
      </c>
      <c r="S48" s="74">
        <v>0</v>
      </c>
      <c r="T48" s="74">
        <v>0</v>
      </c>
      <c r="U48" s="74">
        <v>0</v>
      </c>
      <c r="V48" s="58">
        <f t="shared" si="3"/>
        <v>0.8500000000000002</v>
      </c>
    </row>
    <row r="49" spans="1:22" ht="39.4" customHeight="1" x14ac:dyDescent="0.25">
      <c r="A49" s="31" t="s">
        <v>148</v>
      </c>
      <c r="B49" s="77" t="s">
        <v>153</v>
      </c>
      <c r="C49" s="77"/>
      <c r="D49" s="77"/>
      <c r="E49" s="77"/>
      <c r="F49" s="77" t="s">
        <v>78</v>
      </c>
      <c r="G49" s="77"/>
      <c r="H49" s="77" t="s">
        <v>28</v>
      </c>
      <c r="I49" s="34">
        <v>1</v>
      </c>
      <c r="J49" s="80">
        <v>8.3299999999999999E-2</v>
      </c>
      <c r="K49" s="74">
        <v>8.3299999999999999E-2</v>
      </c>
      <c r="L49" s="74">
        <v>8.3299999999999999E-2</v>
      </c>
      <c r="M49" s="74">
        <v>8.3299999999999999E-2</v>
      </c>
      <c r="N49" s="74">
        <v>8.3299999999999999E-2</v>
      </c>
      <c r="O49" s="74">
        <v>8.3299999999999999E-2</v>
      </c>
      <c r="P49" s="74">
        <v>8.3299999999999999E-2</v>
      </c>
      <c r="Q49" s="74">
        <v>8.3299999999999999E-2</v>
      </c>
      <c r="R49" s="45">
        <v>8.3299999999999999E-2</v>
      </c>
      <c r="S49" s="34">
        <v>0</v>
      </c>
      <c r="T49" s="34">
        <v>0</v>
      </c>
      <c r="U49" s="34">
        <v>0</v>
      </c>
      <c r="V49" s="58">
        <f t="shared" si="3"/>
        <v>0.74970000000000003</v>
      </c>
    </row>
    <row r="50" spans="1:22" ht="36.950000000000003" customHeight="1" x14ac:dyDescent="0.25">
      <c r="A50" s="31" t="s">
        <v>148</v>
      </c>
      <c r="B50" s="77" t="s">
        <v>154</v>
      </c>
      <c r="C50" s="77"/>
      <c r="D50" s="77"/>
      <c r="E50" s="77"/>
      <c r="F50" s="77" t="s">
        <v>78</v>
      </c>
      <c r="G50" s="77"/>
      <c r="H50" s="77" t="s">
        <v>111</v>
      </c>
      <c r="I50" s="77" t="s">
        <v>151</v>
      </c>
      <c r="J50" s="80">
        <v>8.3299999999999999E-2</v>
      </c>
      <c r="K50" s="74">
        <v>8.3299999999999999E-2</v>
      </c>
      <c r="L50" s="74">
        <v>8.3299999999999999E-2</v>
      </c>
      <c r="M50" s="74">
        <v>8.3299999999999999E-2</v>
      </c>
      <c r="N50" s="74">
        <v>8.3299999999999999E-2</v>
      </c>
      <c r="O50" s="74">
        <v>8.3299999999999999E-2</v>
      </c>
      <c r="P50" s="74">
        <v>8.3299999999999999E-2</v>
      </c>
      <c r="Q50" s="74">
        <v>8.3299999999999999E-2</v>
      </c>
      <c r="R50" s="45">
        <v>8.3299999999999999E-2</v>
      </c>
      <c r="S50" s="34">
        <v>0</v>
      </c>
      <c r="T50" s="34">
        <v>0</v>
      </c>
      <c r="U50" s="34">
        <v>0</v>
      </c>
      <c r="V50" s="58">
        <f t="shared" si="3"/>
        <v>0.74970000000000003</v>
      </c>
    </row>
    <row r="51" spans="1:22" ht="47.45" customHeight="1" x14ac:dyDescent="0.25">
      <c r="A51" s="31" t="s">
        <v>148</v>
      </c>
      <c r="B51" s="77" t="s">
        <v>155</v>
      </c>
      <c r="C51" s="77" t="s">
        <v>111</v>
      </c>
      <c r="D51" s="77"/>
      <c r="E51" s="77"/>
      <c r="F51" s="77" t="s">
        <v>27</v>
      </c>
      <c r="G51" s="77"/>
      <c r="H51" s="77" t="s">
        <v>111</v>
      </c>
      <c r="I51" s="77" t="s">
        <v>151</v>
      </c>
      <c r="J51" s="80">
        <v>8.3299999999999999E-2</v>
      </c>
      <c r="K51" s="74">
        <v>8.3299999999999999E-2</v>
      </c>
      <c r="L51" s="74">
        <v>8.3299999999999999E-2</v>
      </c>
      <c r="M51" s="74">
        <v>8.3299999999999999E-2</v>
      </c>
      <c r="N51" s="74">
        <v>8.3299999999999999E-2</v>
      </c>
      <c r="O51" s="74">
        <v>8.3299999999999999E-2</v>
      </c>
      <c r="P51" s="74">
        <v>8.3299999999999999E-2</v>
      </c>
      <c r="Q51" s="74">
        <v>8.3299999999999999E-2</v>
      </c>
      <c r="R51" s="45">
        <v>8.3299999999999999E-2</v>
      </c>
      <c r="S51" s="34">
        <v>0</v>
      </c>
      <c r="T51" s="34">
        <v>0</v>
      </c>
      <c r="U51" s="34">
        <f>0/46390*100%</f>
        <v>0</v>
      </c>
      <c r="V51" s="58">
        <f t="shared" si="3"/>
        <v>0.74970000000000003</v>
      </c>
    </row>
  </sheetData>
  <mergeCells count="7">
    <mergeCell ref="I42:V42"/>
    <mergeCell ref="C1:V1"/>
    <mergeCell ref="A2:C2"/>
    <mergeCell ref="D2:D3"/>
    <mergeCell ref="E2:G2"/>
    <mergeCell ref="H2:H3"/>
    <mergeCell ref="I2:V2"/>
  </mergeCells>
  <dataValidations disablePrompts="1" count="1">
    <dataValidation allowBlank="1" showInputMessage="1" promptTitle="Qué es proceso, qué es proyecto?" prompt="Proceso: Actividad general y rutinaria, que se hace todos los años p.e. Admon. de recursos humanos, Mantenimiento, Financiamiento a Partidos, etc_x000a_Proyecto: Actividad específica, agotable dentro del año p.e. Estadística electoral. Incubadoras, Debates..." sqref="B35 B48:B51">
      <formula1>0</formula1>
      <formula2>0</formula2>
    </dataValidation>
  </dataValidations>
  <printOptions horizontalCentered="1" verticalCentered="1"/>
  <pageMargins left="0.39374999999999999" right="0.39374999999999999" top="0.74791666666666701" bottom="0.74791666666666701" header="0.39374999999999999" footer="0.51180555555555496"/>
  <pageSetup paperSize="5" scale="76" firstPageNumber="0" fitToHeight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2028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35</vt:i4>
      </vt:variant>
    </vt:vector>
  </HeadingPairs>
  <TitlesOfParts>
    <vt:vector size="40" baseType="lpstr">
      <vt:lpstr>Enero</vt:lpstr>
      <vt:lpstr>Febrero</vt:lpstr>
      <vt:lpstr>Marzo</vt:lpstr>
      <vt:lpstr>Abril</vt:lpstr>
      <vt:lpstr>Integrado</vt:lpstr>
      <vt:lpstr>Abril!_ftn1</vt:lpstr>
      <vt:lpstr>Enero!_ftn1</vt:lpstr>
      <vt:lpstr>Febrero!_ftn1</vt:lpstr>
      <vt:lpstr>Marzo!_ftn1</vt:lpstr>
      <vt:lpstr>Abril!_ftn2</vt:lpstr>
      <vt:lpstr>Enero!_ftn2</vt:lpstr>
      <vt:lpstr>Febrero!_ftn2</vt:lpstr>
      <vt:lpstr>Marzo!_ftn2</vt:lpstr>
      <vt:lpstr>Abril!_ftn3</vt:lpstr>
      <vt:lpstr>Enero!_ftn3</vt:lpstr>
      <vt:lpstr>Febrero!_ftn3</vt:lpstr>
      <vt:lpstr>Marzo!_ftn3</vt:lpstr>
      <vt:lpstr>Abril!_ftn4</vt:lpstr>
      <vt:lpstr>Enero!_ftn4</vt:lpstr>
      <vt:lpstr>Febrero!_ftn4</vt:lpstr>
      <vt:lpstr>Marzo!_ftn4</vt:lpstr>
      <vt:lpstr>Abril!_ftnref1</vt:lpstr>
      <vt:lpstr>Enero!_ftnref1</vt:lpstr>
      <vt:lpstr>Febrero!_ftnref1</vt:lpstr>
      <vt:lpstr>Marzo!_ftnref1</vt:lpstr>
      <vt:lpstr>Abril!_ftnref2</vt:lpstr>
      <vt:lpstr>Enero!_ftnref2</vt:lpstr>
      <vt:lpstr>Febrero!_ftnref2</vt:lpstr>
      <vt:lpstr>Integrado!_ftnref2</vt:lpstr>
      <vt:lpstr>Marzo!_ftnref2</vt:lpstr>
      <vt:lpstr>Abril!_ftnref4</vt:lpstr>
      <vt:lpstr>Enero!_ftnref4</vt:lpstr>
      <vt:lpstr>Febrero!_ftnref4</vt:lpstr>
      <vt:lpstr>Marzo!_ftnref4</vt:lpstr>
      <vt:lpstr>Integrado!Área_de_impresión</vt:lpstr>
      <vt:lpstr>Abril!Títulos_a_imprimir</vt:lpstr>
      <vt:lpstr>Enero!Títulos_a_imprimir</vt:lpstr>
      <vt:lpstr>Febrero!Títulos_a_imprimir</vt:lpstr>
      <vt:lpstr>Integrado!Títulos_a_imprimir</vt:lpstr>
      <vt:lpstr>Marzo!Títulos_a_imprimir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Fco. Javier Glez. Vallejo</dc:creator>
  <dc:description/>
  <cp:lastModifiedBy>Alma Fabiola del Rosario Rosas Villalobos</cp:lastModifiedBy>
  <cp:revision>27</cp:revision>
  <cp:lastPrinted>2019-10-28T19:20:00Z</cp:lastPrinted>
  <dcterms:created xsi:type="dcterms:W3CDTF">2017-05-08T18:43:52Z</dcterms:created>
  <dcterms:modified xsi:type="dcterms:W3CDTF">2019-10-28T19:25:16Z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