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Z:\TRANSPARENCIA\Transparencia\Artículo 8\Fracción V\Inciso e)\"/>
    </mc:Choice>
  </mc:AlternateContent>
  <xr:revisionPtr revIDLastSave="0" documentId="13_ncr:1_{56996D23-96C9-418D-8D87-52E26DDBB3CD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PERSONAL ESTRUCTURA Y EVENTUAL" sheetId="39" r:id="rId1"/>
  </sheets>
  <definedNames>
    <definedName name="_xlnm._FilterDatabase" localSheetId="0" hidden="1">'PERSONAL ESTRUCTURA Y EVENTUAL'!$B$7:$S$97</definedName>
    <definedName name="_xlnm.Print_Titles" localSheetId="0">'PERSONAL ESTRUCTURA Y EVENTUAL'!$2:$7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6" i="39" l="1"/>
  <c r="Q96" i="39"/>
  <c r="P96" i="39"/>
  <c r="O96" i="39"/>
  <c r="N96" i="39"/>
  <c r="M96" i="39"/>
  <c r="L96" i="39"/>
  <c r="K96" i="39"/>
  <c r="J96" i="39"/>
  <c r="I96" i="39"/>
  <c r="H96" i="39"/>
  <c r="G96" i="39"/>
  <c r="K90" i="39"/>
  <c r="S90" i="39" s="1"/>
  <c r="K64" i="39"/>
  <c r="S64" i="39" s="1"/>
  <c r="R31" i="39"/>
  <c r="Q31" i="39"/>
  <c r="P31" i="39"/>
  <c r="O31" i="39"/>
  <c r="N31" i="39"/>
  <c r="M31" i="39"/>
  <c r="L31" i="39"/>
  <c r="K31" i="39"/>
  <c r="J31" i="39"/>
  <c r="I31" i="39"/>
  <c r="H31" i="39"/>
  <c r="G31" i="39"/>
  <c r="S31" i="39" l="1"/>
  <c r="S96" i="39"/>
  <c r="K66" i="39"/>
  <c r="K18" i="39"/>
  <c r="K63" i="39"/>
  <c r="K17" i="39"/>
  <c r="K60" i="39"/>
  <c r="K61" i="39"/>
  <c r="K62" i="39"/>
  <c r="K87" i="39"/>
  <c r="K88" i="39"/>
  <c r="K89" i="39"/>
  <c r="K12" i="39"/>
  <c r="K56" i="39"/>
  <c r="K57" i="39"/>
  <c r="K58" i="39"/>
  <c r="K59" i="39"/>
  <c r="K83" i="39"/>
  <c r="K84" i="39"/>
  <c r="K85" i="39"/>
  <c r="K86" i="39"/>
  <c r="K16" i="39"/>
  <c r="K28" i="39"/>
  <c r="K29" i="39"/>
  <c r="K48" i="39"/>
  <c r="K49" i="39"/>
  <c r="K50" i="39"/>
  <c r="K51" i="39"/>
  <c r="K52" i="39"/>
  <c r="K53" i="39"/>
  <c r="K54" i="39"/>
  <c r="K55" i="39"/>
  <c r="K77" i="39"/>
  <c r="K78" i="39"/>
  <c r="K79" i="39"/>
  <c r="K80" i="39"/>
  <c r="K81" i="39"/>
  <c r="K82" i="39"/>
  <c r="K95" i="39"/>
  <c r="K97" i="39"/>
  <c r="K15" i="39"/>
  <c r="K20" i="39"/>
  <c r="K26" i="39"/>
  <c r="K27" i="39"/>
  <c r="K44" i="39"/>
  <c r="K45" i="39"/>
  <c r="K46" i="39"/>
  <c r="K47" i="39"/>
  <c r="K75" i="39"/>
  <c r="K76" i="39"/>
  <c r="K14" i="39"/>
  <c r="K23" i="39"/>
  <c r="K24" i="39"/>
  <c r="K25" i="39"/>
  <c r="K42" i="39"/>
  <c r="K43" i="39"/>
  <c r="K73" i="39"/>
  <c r="K74" i="39"/>
  <c r="K13" i="39"/>
  <c r="K19" i="39"/>
  <c r="K22" i="39"/>
  <c r="K36" i="39"/>
  <c r="K37" i="39"/>
  <c r="K38" i="39"/>
  <c r="K39" i="39"/>
  <c r="K40" i="39"/>
  <c r="K41" i="39"/>
  <c r="K67" i="39"/>
  <c r="K68" i="39"/>
  <c r="K69" i="39"/>
  <c r="K70" i="39"/>
  <c r="K71" i="39"/>
  <c r="K72" i="39"/>
  <c r="K93" i="39"/>
  <c r="K94" i="39"/>
  <c r="K11" i="39"/>
  <c r="S11" i="39" s="1"/>
  <c r="K21" i="39"/>
  <c r="K33" i="39"/>
  <c r="K34" i="39"/>
  <c r="K35" i="39"/>
  <c r="K92" i="39"/>
  <c r="K30" i="39"/>
  <c r="G10" i="39"/>
  <c r="R97" i="39"/>
  <c r="Q97" i="39"/>
  <c r="P97" i="39"/>
  <c r="O97" i="39"/>
  <c r="N97" i="39"/>
  <c r="M97" i="39"/>
  <c r="L97" i="39"/>
  <c r="J97" i="39"/>
  <c r="I97" i="39"/>
  <c r="H97" i="39"/>
  <c r="G97" i="39"/>
  <c r="S97" i="39" s="1"/>
  <c r="R16" i="39"/>
  <c r="Q16" i="39"/>
  <c r="P16" i="39"/>
  <c r="O16" i="39"/>
  <c r="N16" i="39"/>
  <c r="M16" i="39"/>
  <c r="L16" i="39"/>
  <c r="J16" i="39"/>
  <c r="I16" i="39"/>
  <c r="H16" i="39"/>
  <c r="G16" i="39"/>
  <c r="R15" i="39"/>
  <c r="Q15" i="39"/>
  <c r="P15" i="39"/>
  <c r="O15" i="39"/>
  <c r="N15" i="39"/>
  <c r="M15" i="39"/>
  <c r="L15" i="39"/>
  <c r="J15" i="39"/>
  <c r="I15" i="39"/>
  <c r="H15" i="39"/>
  <c r="G15" i="39"/>
  <c r="R14" i="39"/>
  <c r="Q14" i="39"/>
  <c r="P14" i="39"/>
  <c r="O14" i="39"/>
  <c r="N14" i="39"/>
  <c r="M14" i="39"/>
  <c r="L14" i="39"/>
  <c r="J14" i="39"/>
  <c r="I14" i="39"/>
  <c r="H14" i="39"/>
  <c r="G14" i="39"/>
  <c r="R13" i="39"/>
  <c r="Q13" i="39"/>
  <c r="P13" i="39"/>
  <c r="O13" i="39"/>
  <c r="N13" i="39"/>
  <c r="M13" i="39"/>
  <c r="L13" i="39"/>
  <c r="J13" i="39"/>
  <c r="I13" i="39"/>
  <c r="H13" i="39"/>
  <c r="G13" i="39"/>
  <c r="G23" i="39"/>
  <c r="H23" i="39"/>
  <c r="I23" i="39"/>
  <c r="J23" i="39"/>
  <c r="L23" i="39"/>
  <c r="M23" i="39"/>
  <c r="N23" i="39"/>
  <c r="O23" i="39"/>
  <c r="P23" i="39"/>
  <c r="Q23" i="39"/>
  <c r="R23" i="39"/>
  <c r="G24" i="39"/>
  <c r="H24" i="39"/>
  <c r="I24" i="39"/>
  <c r="J24" i="39"/>
  <c r="L24" i="39"/>
  <c r="M24" i="39"/>
  <c r="N24" i="39"/>
  <c r="O24" i="39"/>
  <c r="P24" i="39"/>
  <c r="Q24" i="39"/>
  <c r="R24" i="39"/>
  <c r="G25" i="39"/>
  <c r="H25" i="39"/>
  <c r="I25" i="39"/>
  <c r="J25" i="39"/>
  <c r="L25" i="39"/>
  <c r="M25" i="39"/>
  <c r="N25" i="39"/>
  <c r="O25" i="39"/>
  <c r="P25" i="39"/>
  <c r="Q25" i="39"/>
  <c r="R25" i="39"/>
  <c r="G42" i="39"/>
  <c r="H42" i="39"/>
  <c r="I42" i="39"/>
  <c r="J42" i="39"/>
  <c r="L42" i="39"/>
  <c r="M42" i="39"/>
  <c r="N42" i="39"/>
  <c r="O42" i="39"/>
  <c r="P42" i="39"/>
  <c r="Q42" i="39"/>
  <c r="R42" i="39"/>
  <c r="G43" i="39"/>
  <c r="H43" i="39"/>
  <c r="I43" i="39"/>
  <c r="J43" i="39"/>
  <c r="L43" i="39"/>
  <c r="M43" i="39"/>
  <c r="N43" i="39"/>
  <c r="O43" i="39"/>
  <c r="P43" i="39"/>
  <c r="Q43" i="39"/>
  <c r="R43" i="39"/>
  <c r="G73" i="39"/>
  <c r="H73" i="39"/>
  <c r="I73" i="39"/>
  <c r="J73" i="39"/>
  <c r="L73" i="39"/>
  <c r="M73" i="39"/>
  <c r="N73" i="39"/>
  <c r="O73" i="39"/>
  <c r="P73" i="39"/>
  <c r="Q73" i="39"/>
  <c r="R73" i="39"/>
  <c r="G74" i="39"/>
  <c r="H74" i="39"/>
  <c r="I74" i="39"/>
  <c r="J74" i="39"/>
  <c r="L74" i="39"/>
  <c r="M74" i="39"/>
  <c r="N74" i="39"/>
  <c r="O74" i="39"/>
  <c r="P74" i="39"/>
  <c r="Q74" i="39"/>
  <c r="R74" i="39"/>
  <c r="G20" i="39"/>
  <c r="H20" i="39"/>
  <c r="I20" i="39"/>
  <c r="J20" i="39"/>
  <c r="L20" i="39"/>
  <c r="M20" i="39"/>
  <c r="N20" i="39"/>
  <c r="O20" i="39"/>
  <c r="P20" i="39"/>
  <c r="Q20" i="39"/>
  <c r="R20" i="39"/>
  <c r="G26" i="39"/>
  <c r="H26" i="39"/>
  <c r="I26" i="39"/>
  <c r="J26" i="39"/>
  <c r="L26" i="39"/>
  <c r="M26" i="39"/>
  <c r="N26" i="39"/>
  <c r="O26" i="39"/>
  <c r="P26" i="39"/>
  <c r="Q26" i="39"/>
  <c r="R26" i="39"/>
  <c r="G27" i="39"/>
  <c r="S27" i="39" s="1"/>
  <c r="H27" i="39"/>
  <c r="I27" i="39"/>
  <c r="J27" i="39"/>
  <c r="L27" i="39"/>
  <c r="M27" i="39"/>
  <c r="N27" i="39"/>
  <c r="O27" i="39"/>
  <c r="P27" i="39"/>
  <c r="Q27" i="39"/>
  <c r="R27" i="39"/>
  <c r="G44" i="39"/>
  <c r="H44" i="39"/>
  <c r="I44" i="39"/>
  <c r="J44" i="39"/>
  <c r="L44" i="39"/>
  <c r="M44" i="39"/>
  <c r="N44" i="39"/>
  <c r="O44" i="39"/>
  <c r="P44" i="39"/>
  <c r="Q44" i="39"/>
  <c r="R44" i="39"/>
  <c r="G45" i="39"/>
  <c r="H45" i="39"/>
  <c r="I45" i="39"/>
  <c r="J45" i="39"/>
  <c r="L45" i="39"/>
  <c r="M45" i="39"/>
  <c r="N45" i="39"/>
  <c r="O45" i="39"/>
  <c r="P45" i="39"/>
  <c r="Q45" i="39"/>
  <c r="R45" i="39"/>
  <c r="G46" i="39"/>
  <c r="H46" i="39"/>
  <c r="I46" i="39"/>
  <c r="J46" i="39"/>
  <c r="L46" i="39"/>
  <c r="M46" i="39"/>
  <c r="N46" i="39"/>
  <c r="O46" i="39"/>
  <c r="P46" i="39"/>
  <c r="Q46" i="39"/>
  <c r="R46" i="39"/>
  <c r="G47" i="39"/>
  <c r="H47" i="39"/>
  <c r="I47" i="39"/>
  <c r="J47" i="39"/>
  <c r="L47" i="39"/>
  <c r="M47" i="39"/>
  <c r="N47" i="39"/>
  <c r="O47" i="39"/>
  <c r="P47" i="39"/>
  <c r="Q47" i="39"/>
  <c r="R47" i="39"/>
  <c r="G75" i="39"/>
  <c r="H75" i="39"/>
  <c r="I75" i="39"/>
  <c r="J75" i="39"/>
  <c r="L75" i="39"/>
  <c r="M75" i="39"/>
  <c r="N75" i="39"/>
  <c r="O75" i="39"/>
  <c r="P75" i="39"/>
  <c r="Q75" i="39"/>
  <c r="R75" i="39"/>
  <c r="G76" i="39"/>
  <c r="H76" i="39"/>
  <c r="I76" i="39"/>
  <c r="J76" i="39"/>
  <c r="L76" i="39"/>
  <c r="M76" i="39"/>
  <c r="N76" i="39"/>
  <c r="O76" i="39"/>
  <c r="P76" i="39"/>
  <c r="Q76" i="39"/>
  <c r="R76" i="39"/>
  <c r="G28" i="39"/>
  <c r="H28" i="39"/>
  <c r="I28" i="39"/>
  <c r="J28" i="39"/>
  <c r="L28" i="39"/>
  <c r="M28" i="39"/>
  <c r="N28" i="39"/>
  <c r="O28" i="39"/>
  <c r="P28" i="39"/>
  <c r="Q28" i="39"/>
  <c r="R28" i="39"/>
  <c r="G29" i="39"/>
  <c r="H29" i="39"/>
  <c r="I29" i="39"/>
  <c r="J29" i="39"/>
  <c r="L29" i="39"/>
  <c r="M29" i="39"/>
  <c r="N29" i="39"/>
  <c r="O29" i="39"/>
  <c r="P29" i="39"/>
  <c r="Q29" i="39"/>
  <c r="R29" i="39"/>
  <c r="G48" i="39"/>
  <c r="H48" i="39"/>
  <c r="I48" i="39"/>
  <c r="J48" i="39"/>
  <c r="L48" i="39"/>
  <c r="M48" i="39"/>
  <c r="N48" i="39"/>
  <c r="O48" i="39"/>
  <c r="P48" i="39"/>
  <c r="Q48" i="39"/>
  <c r="R48" i="39"/>
  <c r="G49" i="39"/>
  <c r="H49" i="39"/>
  <c r="I49" i="39"/>
  <c r="J49" i="39"/>
  <c r="L49" i="39"/>
  <c r="M49" i="39"/>
  <c r="N49" i="39"/>
  <c r="O49" i="39"/>
  <c r="P49" i="39"/>
  <c r="Q49" i="39"/>
  <c r="R49" i="39"/>
  <c r="G50" i="39"/>
  <c r="H50" i="39"/>
  <c r="I50" i="39"/>
  <c r="J50" i="39"/>
  <c r="L50" i="39"/>
  <c r="M50" i="39"/>
  <c r="N50" i="39"/>
  <c r="O50" i="39"/>
  <c r="P50" i="39"/>
  <c r="Q50" i="39"/>
  <c r="R50" i="39"/>
  <c r="G51" i="39"/>
  <c r="S51" i="39" s="1"/>
  <c r="H51" i="39"/>
  <c r="I51" i="39"/>
  <c r="J51" i="39"/>
  <c r="L51" i="39"/>
  <c r="M51" i="39"/>
  <c r="N51" i="39"/>
  <c r="O51" i="39"/>
  <c r="P51" i="39"/>
  <c r="Q51" i="39"/>
  <c r="R51" i="39"/>
  <c r="G52" i="39"/>
  <c r="H52" i="39"/>
  <c r="I52" i="39"/>
  <c r="J52" i="39"/>
  <c r="L52" i="39"/>
  <c r="M52" i="39"/>
  <c r="N52" i="39"/>
  <c r="O52" i="39"/>
  <c r="P52" i="39"/>
  <c r="Q52" i="39"/>
  <c r="R52" i="39"/>
  <c r="G53" i="39"/>
  <c r="H53" i="39"/>
  <c r="I53" i="39"/>
  <c r="J53" i="39"/>
  <c r="L53" i="39"/>
  <c r="M53" i="39"/>
  <c r="N53" i="39"/>
  <c r="O53" i="39"/>
  <c r="P53" i="39"/>
  <c r="Q53" i="39"/>
  <c r="R53" i="39"/>
  <c r="G54" i="39"/>
  <c r="H54" i="39"/>
  <c r="I54" i="39"/>
  <c r="J54" i="39"/>
  <c r="L54" i="39"/>
  <c r="M54" i="39"/>
  <c r="N54" i="39"/>
  <c r="O54" i="39"/>
  <c r="P54" i="39"/>
  <c r="Q54" i="39"/>
  <c r="R54" i="39"/>
  <c r="G55" i="39"/>
  <c r="H55" i="39"/>
  <c r="I55" i="39"/>
  <c r="J55" i="39"/>
  <c r="L55" i="39"/>
  <c r="M55" i="39"/>
  <c r="N55" i="39"/>
  <c r="O55" i="39"/>
  <c r="P55" i="39"/>
  <c r="Q55" i="39"/>
  <c r="R55" i="39"/>
  <c r="G77" i="39"/>
  <c r="H77" i="39"/>
  <c r="I77" i="39"/>
  <c r="J77" i="39"/>
  <c r="L77" i="39"/>
  <c r="M77" i="39"/>
  <c r="N77" i="39"/>
  <c r="O77" i="39"/>
  <c r="P77" i="39"/>
  <c r="Q77" i="39"/>
  <c r="R77" i="39"/>
  <c r="G78" i="39"/>
  <c r="H78" i="39"/>
  <c r="I78" i="39"/>
  <c r="J78" i="39"/>
  <c r="L78" i="39"/>
  <c r="M78" i="39"/>
  <c r="N78" i="39"/>
  <c r="O78" i="39"/>
  <c r="P78" i="39"/>
  <c r="Q78" i="39"/>
  <c r="R78" i="39"/>
  <c r="G79" i="39"/>
  <c r="H79" i="39"/>
  <c r="I79" i="39"/>
  <c r="J79" i="39"/>
  <c r="L79" i="39"/>
  <c r="M79" i="39"/>
  <c r="N79" i="39"/>
  <c r="O79" i="39"/>
  <c r="P79" i="39"/>
  <c r="Q79" i="39"/>
  <c r="R79" i="39"/>
  <c r="G80" i="39"/>
  <c r="H80" i="39"/>
  <c r="I80" i="39"/>
  <c r="J80" i="39"/>
  <c r="L80" i="39"/>
  <c r="M80" i="39"/>
  <c r="N80" i="39"/>
  <c r="O80" i="39"/>
  <c r="P80" i="39"/>
  <c r="Q80" i="39"/>
  <c r="R80" i="39"/>
  <c r="G81" i="39"/>
  <c r="H81" i="39"/>
  <c r="I81" i="39"/>
  <c r="J81" i="39"/>
  <c r="L81" i="39"/>
  <c r="M81" i="39"/>
  <c r="N81" i="39"/>
  <c r="O81" i="39"/>
  <c r="P81" i="39"/>
  <c r="Q81" i="39"/>
  <c r="R81" i="39"/>
  <c r="G82" i="39"/>
  <c r="H82" i="39"/>
  <c r="I82" i="39"/>
  <c r="J82" i="39"/>
  <c r="L82" i="39"/>
  <c r="M82" i="39"/>
  <c r="N82" i="39"/>
  <c r="O82" i="39"/>
  <c r="P82" i="39"/>
  <c r="Q82" i="39"/>
  <c r="R82" i="39"/>
  <c r="G95" i="39"/>
  <c r="H95" i="39"/>
  <c r="I95" i="39"/>
  <c r="J95" i="39"/>
  <c r="L95" i="39"/>
  <c r="M95" i="39"/>
  <c r="N95" i="39"/>
  <c r="O95" i="39"/>
  <c r="P95" i="39"/>
  <c r="Q95" i="39"/>
  <c r="R95" i="39"/>
  <c r="R17" i="39"/>
  <c r="Q17" i="39"/>
  <c r="P17" i="39"/>
  <c r="O17" i="39"/>
  <c r="N17" i="39"/>
  <c r="M17" i="39"/>
  <c r="L17" i="39"/>
  <c r="J17" i="39"/>
  <c r="I17" i="39"/>
  <c r="H17" i="39"/>
  <c r="G17" i="39"/>
  <c r="R12" i="39"/>
  <c r="Q12" i="39"/>
  <c r="P12" i="39"/>
  <c r="O12" i="39"/>
  <c r="N12" i="39"/>
  <c r="M12" i="39"/>
  <c r="L12" i="39"/>
  <c r="J12" i="39"/>
  <c r="I12" i="39"/>
  <c r="H12" i="39"/>
  <c r="G12" i="39"/>
  <c r="R92" i="39"/>
  <c r="Q92" i="39"/>
  <c r="P92" i="39"/>
  <c r="O92" i="39"/>
  <c r="N92" i="39"/>
  <c r="M92" i="39"/>
  <c r="L92" i="39"/>
  <c r="J92" i="39"/>
  <c r="I92" i="39"/>
  <c r="H92" i="39"/>
  <c r="G92" i="39"/>
  <c r="R93" i="39"/>
  <c r="Q93" i="39"/>
  <c r="P93" i="39"/>
  <c r="O93" i="39"/>
  <c r="N93" i="39"/>
  <c r="M93" i="39"/>
  <c r="L93" i="39"/>
  <c r="J93" i="39"/>
  <c r="I93" i="39"/>
  <c r="H93" i="39"/>
  <c r="G93" i="39"/>
  <c r="R94" i="39"/>
  <c r="Q94" i="39"/>
  <c r="P94" i="39"/>
  <c r="O94" i="39"/>
  <c r="N94" i="39"/>
  <c r="M94" i="39"/>
  <c r="L94" i="39"/>
  <c r="J94" i="39"/>
  <c r="I94" i="39"/>
  <c r="H94" i="39"/>
  <c r="G94" i="39"/>
  <c r="R22" i="39"/>
  <c r="Q22" i="39"/>
  <c r="P22" i="39"/>
  <c r="O22" i="39"/>
  <c r="N22" i="39"/>
  <c r="M22" i="39"/>
  <c r="L22" i="39"/>
  <c r="J22" i="39"/>
  <c r="I22" i="39"/>
  <c r="H22" i="39"/>
  <c r="G22" i="39"/>
  <c r="R21" i="39"/>
  <c r="Q21" i="39"/>
  <c r="P21" i="39"/>
  <c r="O21" i="39"/>
  <c r="N21" i="39"/>
  <c r="M21" i="39"/>
  <c r="L21" i="39"/>
  <c r="J21" i="39"/>
  <c r="I21" i="39"/>
  <c r="H21" i="39"/>
  <c r="G21" i="39"/>
  <c r="R19" i="39"/>
  <c r="Q19" i="39"/>
  <c r="P19" i="39"/>
  <c r="O19" i="39"/>
  <c r="N19" i="39"/>
  <c r="M19" i="39"/>
  <c r="L19" i="39"/>
  <c r="J19" i="39"/>
  <c r="I19" i="39"/>
  <c r="H19" i="39"/>
  <c r="G19" i="39"/>
  <c r="R18" i="39"/>
  <c r="Q18" i="39"/>
  <c r="P18" i="39"/>
  <c r="O18" i="39"/>
  <c r="N18" i="39"/>
  <c r="M18" i="39"/>
  <c r="L18" i="39"/>
  <c r="J18" i="39"/>
  <c r="I18" i="39"/>
  <c r="H18" i="39"/>
  <c r="G18" i="39"/>
  <c r="R63" i="39"/>
  <c r="Q63" i="39"/>
  <c r="P63" i="39"/>
  <c r="O63" i="39"/>
  <c r="N63" i="39"/>
  <c r="M63" i="39"/>
  <c r="L63" i="39"/>
  <c r="J63" i="39"/>
  <c r="I63" i="39"/>
  <c r="H63" i="39"/>
  <c r="G63" i="39"/>
  <c r="R62" i="39"/>
  <c r="Q62" i="39"/>
  <c r="P62" i="39"/>
  <c r="O62" i="39"/>
  <c r="N62" i="39"/>
  <c r="M62" i="39"/>
  <c r="L62" i="39"/>
  <c r="J62" i="39"/>
  <c r="I62" i="39"/>
  <c r="H62" i="39"/>
  <c r="G62" i="39"/>
  <c r="S62" i="39" s="1"/>
  <c r="R61" i="39"/>
  <c r="Q61" i="39"/>
  <c r="P61" i="39"/>
  <c r="O61" i="39"/>
  <c r="N61" i="39"/>
  <c r="M61" i="39"/>
  <c r="L61" i="39"/>
  <c r="J61" i="39"/>
  <c r="I61" i="39"/>
  <c r="H61" i="39"/>
  <c r="G61" i="39"/>
  <c r="R60" i="39"/>
  <c r="Q60" i="39"/>
  <c r="P60" i="39"/>
  <c r="O60" i="39"/>
  <c r="N60" i="39"/>
  <c r="M60" i="39"/>
  <c r="L60" i="39"/>
  <c r="J60" i="39"/>
  <c r="I60" i="39"/>
  <c r="H60" i="39"/>
  <c r="G60" i="39"/>
  <c r="R59" i="39"/>
  <c r="Q59" i="39"/>
  <c r="P59" i="39"/>
  <c r="O59" i="39"/>
  <c r="N59" i="39"/>
  <c r="M59" i="39"/>
  <c r="L59" i="39"/>
  <c r="J59" i="39"/>
  <c r="I59" i="39"/>
  <c r="H59" i="39"/>
  <c r="G59" i="39"/>
  <c r="R58" i="39"/>
  <c r="Q58" i="39"/>
  <c r="P58" i="39"/>
  <c r="O58" i="39"/>
  <c r="N58" i="39"/>
  <c r="M58" i="39"/>
  <c r="L58" i="39"/>
  <c r="J58" i="39"/>
  <c r="I58" i="39"/>
  <c r="H58" i="39"/>
  <c r="G58" i="39"/>
  <c r="R57" i="39"/>
  <c r="Q57" i="39"/>
  <c r="P57" i="39"/>
  <c r="O57" i="39"/>
  <c r="N57" i="39"/>
  <c r="M57" i="39"/>
  <c r="L57" i="39"/>
  <c r="J57" i="39"/>
  <c r="I57" i="39"/>
  <c r="H57" i="39"/>
  <c r="G57" i="39"/>
  <c r="R56" i="39"/>
  <c r="Q56" i="39"/>
  <c r="P56" i="39"/>
  <c r="O56" i="39"/>
  <c r="N56" i="39"/>
  <c r="M56" i="39"/>
  <c r="L56" i="39"/>
  <c r="J56" i="39"/>
  <c r="I56" i="39"/>
  <c r="H56" i="39"/>
  <c r="G56" i="39"/>
  <c r="R41" i="39"/>
  <c r="Q41" i="39"/>
  <c r="P41" i="39"/>
  <c r="O41" i="39"/>
  <c r="N41" i="39"/>
  <c r="M41" i="39"/>
  <c r="L41" i="39"/>
  <c r="J41" i="39"/>
  <c r="I41" i="39"/>
  <c r="H41" i="39"/>
  <c r="G41" i="39"/>
  <c r="R40" i="39"/>
  <c r="Q40" i="39"/>
  <c r="P40" i="39"/>
  <c r="O40" i="39"/>
  <c r="N40" i="39"/>
  <c r="M40" i="39"/>
  <c r="L40" i="39"/>
  <c r="J40" i="39"/>
  <c r="I40" i="39"/>
  <c r="H40" i="39"/>
  <c r="G40" i="39"/>
  <c r="R39" i="39"/>
  <c r="Q39" i="39"/>
  <c r="P39" i="39"/>
  <c r="O39" i="39"/>
  <c r="N39" i="39"/>
  <c r="M39" i="39"/>
  <c r="L39" i="39"/>
  <c r="J39" i="39"/>
  <c r="I39" i="39"/>
  <c r="H39" i="39"/>
  <c r="G39" i="39"/>
  <c r="R38" i="39"/>
  <c r="Q38" i="39"/>
  <c r="P38" i="39"/>
  <c r="O38" i="39"/>
  <c r="N38" i="39"/>
  <c r="M38" i="39"/>
  <c r="L38" i="39"/>
  <c r="J38" i="39"/>
  <c r="I38" i="39"/>
  <c r="H38" i="39"/>
  <c r="G38" i="39"/>
  <c r="R37" i="39"/>
  <c r="Q37" i="39"/>
  <c r="P37" i="39"/>
  <c r="O37" i="39"/>
  <c r="N37" i="39"/>
  <c r="M37" i="39"/>
  <c r="L37" i="39"/>
  <c r="J37" i="39"/>
  <c r="I37" i="39"/>
  <c r="H37" i="39"/>
  <c r="G37" i="39"/>
  <c r="R36" i="39"/>
  <c r="Q36" i="39"/>
  <c r="P36" i="39"/>
  <c r="O36" i="39"/>
  <c r="N36" i="39"/>
  <c r="M36" i="39"/>
  <c r="L36" i="39"/>
  <c r="J36" i="39"/>
  <c r="I36" i="39"/>
  <c r="H36" i="39"/>
  <c r="G36" i="39"/>
  <c r="S36" i="39" s="1"/>
  <c r="R35" i="39"/>
  <c r="Q35" i="39"/>
  <c r="P35" i="39"/>
  <c r="O35" i="39"/>
  <c r="N35" i="39"/>
  <c r="M35" i="39"/>
  <c r="L35" i="39"/>
  <c r="J35" i="39"/>
  <c r="I35" i="39"/>
  <c r="H35" i="39"/>
  <c r="G35" i="39"/>
  <c r="R34" i="39"/>
  <c r="Q34" i="39"/>
  <c r="P34" i="39"/>
  <c r="O34" i="39"/>
  <c r="N34" i="39"/>
  <c r="M34" i="39"/>
  <c r="L34" i="39"/>
  <c r="J34" i="39"/>
  <c r="I34" i="39"/>
  <c r="H34" i="39"/>
  <c r="G34" i="39"/>
  <c r="R33" i="39"/>
  <c r="Q33" i="39"/>
  <c r="P33" i="39"/>
  <c r="O33" i="39"/>
  <c r="N33" i="39"/>
  <c r="M33" i="39"/>
  <c r="L33" i="39"/>
  <c r="J33" i="39"/>
  <c r="I33" i="39"/>
  <c r="H33" i="39"/>
  <c r="G33" i="39"/>
  <c r="R89" i="39"/>
  <c r="Q89" i="39"/>
  <c r="P89" i="39"/>
  <c r="O89" i="39"/>
  <c r="N89" i="39"/>
  <c r="M89" i="39"/>
  <c r="L89" i="39"/>
  <c r="J89" i="39"/>
  <c r="I89" i="39"/>
  <c r="H89" i="39"/>
  <c r="G89" i="39"/>
  <c r="R88" i="39"/>
  <c r="Q88" i="39"/>
  <c r="P88" i="39"/>
  <c r="O88" i="39"/>
  <c r="N88" i="39"/>
  <c r="M88" i="39"/>
  <c r="L88" i="39"/>
  <c r="J88" i="39"/>
  <c r="I88" i="39"/>
  <c r="H88" i="39"/>
  <c r="G88" i="39"/>
  <c r="R87" i="39"/>
  <c r="Q87" i="39"/>
  <c r="P87" i="39"/>
  <c r="O87" i="39"/>
  <c r="N87" i="39"/>
  <c r="M87" i="39"/>
  <c r="L87" i="39"/>
  <c r="J87" i="39"/>
  <c r="I87" i="39"/>
  <c r="H87" i="39"/>
  <c r="G87" i="39"/>
  <c r="R86" i="39"/>
  <c r="Q86" i="39"/>
  <c r="P86" i="39"/>
  <c r="O86" i="39"/>
  <c r="N86" i="39"/>
  <c r="M86" i="39"/>
  <c r="L86" i="39"/>
  <c r="J86" i="39"/>
  <c r="I86" i="39"/>
  <c r="H86" i="39"/>
  <c r="G86" i="39"/>
  <c r="R85" i="39"/>
  <c r="Q85" i="39"/>
  <c r="P85" i="39"/>
  <c r="O85" i="39"/>
  <c r="N85" i="39"/>
  <c r="M85" i="39"/>
  <c r="L85" i="39"/>
  <c r="J85" i="39"/>
  <c r="I85" i="39"/>
  <c r="H85" i="39"/>
  <c r="G85" i="39"/>
  <c r="R84" i="39"/>
  <c r="Q84" i="39"/>
  <c r="P84" i="39"/>
  <c r="O84" i="39"/>
  <c r="N84" i="39"/>
  <c r="M84" i="39"/>
  <c r="L84" i="39"/>
  <c r="J84" i="39"/>
  <c r="I84" i="39"/>
  <c r="H84" i="39"/>
  <c r="G84" i="39"/>
  <c r="R83" i="39"/>
  <c r="Q83" i="39"/>
  <c r="P83" i="39"/>
  <c r="O83" i="39"/>
  <c r="N83" i="39"/>
  <c r="M83" i="39"/>
  <c r="L83" i="39"/>
  <c r="J83" i="39"/>
  <c r="I83" i="39"/>
  <c r="H83" i="39"/>
  <c r="G83" i="39"/>
  <c r="R72" i="39"/>
  <c r="Q72" i="39"/>
  <c r="P72" i="39"/>
  <c r="O72" i="39"/>
  <c r="N72" i="39"/>
  <c r="M72" i="39"/>
  <c r="L72" i="39"/>
  <c r="J72" i="39"/>
  <c r="I72" i="39"/>
  <c r="H72" i="39"/>
  <c r="G72" i="39"/>
  <c r="R71" i="39"/>
  <c r="Q71" i="39"/>
  <c r="P71" i="39"/>
  <c r="O71" i="39"/>
  <c r="N71" i="39"/>
  <c r="M71" i="39"/>
  <c r="L71" i="39"/>
  <c r="J71" i="39"/>
  <c r="I71" i="39"/>
  <c r="H71" i="39"/>
  <c r="G71" i="39"/>
  <c r="S71" i="39" s="1"/>
  <c r="R70" i="39"/>
  <c r="Q70" i="39"/>
  <c r="P70" i="39"/>
  <c r="O70" i="39"/>
  <c r="N70" i="39"/>
  <c r="M70" i="39"/>
  <c r="L70" i="39"/>
  <c r="J70" i="39"/>
  <c r="I70" i="39"/>
  <c r="H70" i="39"/>
  <c r="G70" i="39"/>
  <c r="R69" i="39"/>
  <c r="Q69" i="39"/>
  <c r="P69" i="39"/>
  <c r="O69" i="39"/>
  <c r="N69" i="39"/>
  <c r="M69" i="39"/>
  <c r="L69" i="39"/>
  <c r="J69" i="39"/>
  <c r="I69" i="39"/>
  <c r="H69" i="39"/>
  <c r="G69" i="39"/>
  <c r="R68" i="39"/>
  <c r="Q68" i="39"/>
  <c r="P68" i="39"/>
  <c r="O68" i="39"/>
  <c r="N68" i="39"/>
  <c r="M68" i="39"/>
  <c r="L68" i="39"/>
  <c r="J68" i="39"/>
  <c r="I68" i="39"/>
  <c r="H68" i="39"/>
  <c r="G68" i="39"/>
  <c r="R67" i="39"/>
  <c r="Q67" i="39"/>
  <c r="P67" i="39"/>
  <c r="O67" i="39"/>
  <c r="N67" i="39"/>
  <c r="M67" i="39"/>
  <c r="L67" i="39"/>
  <c r="J67" i="39"/>
  <c r="I67" i="39"/>
  <c r="H67" i="39"/>
  <c r="G67" i="39"/>
  <c r="R66" i="39"/>
  <c r="Q66" i="39"/>
  <c r="P66" i="39"/>
  <c r="O66" i="39"/>
  <c r="N66" i="39"/>
  <c r="M66" i="39"/>
  <c r="L66" i="39"/>
  <c r="J66" i="39"/>
  <c r="I66" i="39"/>
  <c r="H66" i="39"/>
  <c r="G66" i="39"/>
  <c r="R30" i="39"/>
  <c r="Q30" i="39"/>
  <c r="P30" i="39"/>
  <c r="O30" i="39"/>
  <c r="N30" i="39"/>
  <c r="M30" i="39"/>
  <c r="L30" i="39"/>
  <c r="J30" i="39"/>
  <c r="I30" i="39"/>
  <c r="H30" i="39"/>
  <c r="G30" i="39"/>
  <c r="Q9" i="39"/>
  <c r="P9" i="39"/>
  <c r="O9" i="39"/>
  <c r="N9" i="39"/>
  <c r="M9" i="39"/>
  <c r="L9" i="39"/>
  <c r="J9" i="39"/>
  <c r="I9" i="39"/>
  <c r="H9" i="39"/>
  <c r="G9" i="39"/>
  <c r="Q10" i="39"/>
  <c r="P10" i="39"/>
  <c r="O10" i="39"/>
  <c r="N10" i="39"/>
  <c r="M10" i="39"/>
  <c r="L10" i="39"/>
  <c r="J10" i="39"/>
  <c r="I10" i="39"/>
  <c r="H10" i="39"/>
  <c r="S70" i="39" l="1"/>
  <c r="S16" i="39"/>
  <c r="S35" i="39"/>
  <c r="S52" i="39"/>
  <c r="S60" i="39"/>
  <c r="S17" i="39"/>
  <c r="S68" i="39"/>
  <c r="S33" i="39"/>
  <c r="S59" i="39"/>
  <c r="S12" i="39"/>
  <c r="S54" i="39"/>
  <c r="S46" i="39"/>
  <c r="S23" i="39"/>
  <c r="S14" i="39"/>
  <c r="S61" i="39"/>
  <c r="S24" i="39"/>
  <c r="S66" i="39"/>
  <c r="S88" i="39"/>
  <c r="S57" i="39"/>
  <c r="S93" i="39"/>
  <c r="S77" i="39"/>
  <c r="S75" i="39"/>
  <c r="S25" i="39"/>
  <c r="S30" i="39"/>
  <c r="S87" i="39"/>
  <c r="S56" i="39"/>
  <c r="S94" i="39"/>
  <c r="S78" i="39"/>
  <c r="S76" i="39"/>
  <c r="S42" i="39"/>
  <c r="S44" i="39"/>
  <c r="S69" i="39"/>
  <c r="S34" i="39"/>
  <c r="S45" i="39"/>
  <c r="S67" i="39"/>
  <c r="S58" i="39"/>
  <c r="S92" i="39"/>
  <c r="S86" i="39"/>
  <c r="S22" i="39"/>
  <c r="S9" i="39"/>
  <c r="S19" i="39"/>
  <c r="S81" i="39"/>
  <c r="S48" i="39"/>
  <c r="S74" i="39"/>
  <c r="S10" i="39"/>
  <c r="S15" i="39"/>
  <c r="S89" i="39"/>
  <c r="S55" i="39"/>
  <c r="S47" i="39"/>
  <c r="S13" i="39"/>
  <c r="S79" i="39"/>
  <c r="S40" i="39"/>
  <c r="S29" i="39"/>
  <c r="S73" i="39"/>
  <c r="S83" i="39"/>
  <c r="S38" i="39"/>
  <c r="S18" i="39"/>
  <c r="S82" i="39"/>
  <c r="S49" i="39"/>
  <c r="S20" i="39"/>
  <c r="S53" i="39"/>
  <c r="S41" i="39"/>
  <c r="S28" i="39"/>
  <c r="S43" i="39"/>
  <c r="S85" i="39"/>
  <c r="S21" i="39"/>
  <c r="S80" i="39"/>
  <c r="S84" i="39"/>
  <c r="S39" i="39"/>
  <c r="S72" i="39"/>
  <c r="S37" i="39"/>
  <c r="S63" i="39"/>
  <c r="S95" i="39"/>
  <c r="S50" i="39"/>
  <c r="S26" i="39"/>
</calcChain>
</file>

<file path=xl/sharedStrings.xml><?xml version="1.0" encoding="utf-8"?>
<sst xmlns="http://schemas.openxmlformats.org/spreadsheetml/2006/main" count="109" uniqueCount="107">
  <si>
    <t>PUESTO</t>
  </si>
  <si>
    <t>Consejera o Consejero Electoral</t>
  </si>
  <si>
    <t xml:space="preserve">Asesora o Asesor de Consejería </t>
  </si>
  <si>
    <t xml:space="preserve">Asistente de Consejería </t>
  </si>
  <si>
    <t>Consejera Presidenta</t>
  </si>
  <si>
    <t>Asesora o Asesor de Presidencia</t>
  </si>
  <si>
    <t>Secretario Ejecutivo</t>
  </si>
  <si>
    <t xml:space="preserve">Directora o Director Ejecutivo </t>
  </si>
  <si>
    <t>CANTIDAD DE PERSONAL</t>
  </si>
  <si>
    <t xml:space="preserve">Directora o Director de Comunicación Social </t>
  </si>
  <si>
    <t xml:space="preserve">Coordinadora o Coordinador de Agenda y Seguimiento </t>
  </si>
  <si>
    <t xml:space="preserve">Coordinadora o Coordinador de Comunicación Social </t>
  </si>
  <si>
    <t>Asistente de Presidencia</t>
  </si>
  <si>
    <t>Directora o Director del Secretariado</t>
  </si>
  <si>
    <t>Directora o Director de Transparencia, Protección de Datos Personales y Archivo</t>
  </si>
  <si>
    <t>Coordinadora o Coordinador de Oficialía de Partes</t>
  </si>
  <si>
    <t>Coordinadora o Coordinador de Secretaría Ejecutiva</t>
  </si>
  <si>
    <t xml:space="preserve">Coordinadora o Coordinador de Actas y Acuerdos </t>
  </si>
  <si>
    <t>Coordinadora o Coordinador del Secretariado</t>
  </si>
  <si>
    <t xml:space="preserve">Coordinadora o Coordinador de Transparencia y Protección de Datos Personales </t>
  </si>
  <si>
    <t>Coordinadora o Coordinador de Archivo</t>
  </si>
  <si>
    <t>Técnica o Técnico de Oficialía de Partes</t>
  </si>
  <si>
    <t>Técnica o Técnico de Secretaría Ejecutiva</t>
  </si>
  <si>
    <t xml:space="preserve">Técnica o Técnico de Actas y Acuerdos </t>
  </si>
  <si>
    <t>Técnica o Técnico del Secretariado</t>
  </si>
  <si>
    <t xml:space="preserve">Técnica o Técnico de Transparencia y Protección de Datos Personales </t>
  </si>
  <si>
    <t>Técnica o Técnico de Archivo</t>
  </si>
  <si>
    <t>Asistente de Secretaría Ejecutiva</t>
  </si>
  <si>
    <t>Directora o Director Ejecutivo de Prerrogativas</t>
  </si>
  <si>
    <t>Directora o Director de Prerrogativas</t>
  </si>
  <si>
    <t>Directora o Director de Igualdad de Género y No Discriminación</t>
  </si>
  <si>
    <t xml:space="preserve">Titular de la Unidad de Fiscalización </t>
  </si>
  <si>
    <t>Coordinadora o Coordinador de Prerrogativas</t>
  </si>
  <si>
    <t>Coordinadora o Coordinador de Igualdad de Género y No Discriminación</t>
  </si>
  <si>
    <t>Técnica o Técnico de Prerrogativas</t>
  </si>
  <si>
    <t>Técnica o Técnico de Igualdad de Género y No Discriminación</t>
  </si>
  <si>
    <t>Directora o Director Ejecutivo de Participación Ciudadana y Educación Cívica</t>
  </si>
  <si>
    <t>Directora o Director de Educación Cívica</t>
  </si>
  <si>
    <t>Directora o Director de Participación Ciudadana</t>
  </si>
  <si>
    <t>Directora o Director de Editorial</t>
  </si>
  <si>
    <t>Coordinadora o Coordinador de Participación Ciudadana</t>
  </si>
  <si>
    <t>Coordinadora o Coordinador de Educación Cívica</t>
  </si>
  <si>
    <t>Coordinadora o Coordinador de Editorial</t>
  </si>
  <si>
    <t>Coordinadora o Coordinador del Centro de Estudios e Investigación Irene Robledo García</t>
  </si>
  <si>
    <t>Técnica o Técnico de Participación Ciudadana</t>
  </si>
  <si>
    <t>Técnica o Técnico de Educación Cívica</t>
  </si>
  <si>
    <t>Directora o Director de Administración de Recursos</t>
  </si>
  <si>
    <t>Directora o Director de Informática</t>
  </si>
  <si>
    <t xml:space="preserve">Coordinadora o Coordinador de Recursos Financieros </t>
  </si>
  <si>
    <t xml:space="preserve">Coordinadora o Coordinador de Recursos Humanos </t>
  </si>
  <si>
    <t xml:space="preserve">Coordinadora o Coordinador de Recursos Materiales y Servicios </t>
  </si>
  <si>
    <t xml:space="preserve">Coordinadora o Coordinador de Planeación y Evaluación  </t>
  </si>
  <si>
    <t xml:space="preserve">Coordinadora o Coordinador de Soporte y Desarrollo Institucional </t>
  </si>
  <si>
    <t xml:space="preserve">Coordinadora o Coordinador de Sistemas Electorales </t>
  </si>
  <si>
    <t xml:space="preserve">Coordinadora o Coordinador de Redes </t>
  </si>
  <si>
    <t>Coordinadora o Coordinador de Programación</t>
  </si>
  <si>
    <t xml:space="preserve">Técnica o Técnico de Recursos Financieros </t>
  </si>
  <si>
    <t xml:space="preserve">Técnica o Técnico de Recursos Humanos </t>
  </si>
  <si>
    <t>Técnica o Técnico del SPEN</t>
  </si>
  <si>
    <t xml:space="preserve">Técnica o Técnico de Recursos Materiales y Servicios </t>
  </si>
  <si>
    <t xml:space="preserve">Técnica o Técnico de Planeación y Evaluación  </t>
  </si>
  <si>
    <t>Técnica o Técnico de Informática</t>
  </si>
  <si>
    <t xml:space="preserve">Auxiliar de Recursos Materiales y Servicios </t>
  </si>
  <si>
    <t xml:space="preserve">Intendente de Recursos Materiales y Servicios </t>
  </si>
  <si>
    <t xml:space="preserve">Coordinadora o Coordinador de Acuerdos y Normas </t>
  </si>
  <si>
    <t xml:space="preserve">Coordinadora o Coordinador de Convenios, Contratos y Consultas </t>
  </si>
  <si>
    <t xml:space="preserve">Coordinadora o Coordinador de Defensa Constitucional </t>
  </si>
  <si>
    <t xml:space="preserve">Coordinadora o Coordinador de lo Contencioso </t>
  </si>
  <si>
    <t xml:space="preserve">Técnica o Técnico de Acuerdos y Normas </t>
  </si>
  <si>
    <t xml:space="preserve">Técnica o Técnico de Convenios, Contratos y Consultas </t>
  </si>
  <si>
    <t xml:space="preserve">Técnica o Técnico de Defensa Constitucional </t>
  </si>
  <si>
    <t xml:space="preserve">Técnica o Técnico de lo Contencioso </t>
  </si>
  <si>
    <t xml:space="preserve">Coordinadora o Coordinador de Materiales </t>
  </si>
  <si>
    <t>Coordinadora o Coordinador de Estadística Electoral</t>
  </si>
  <si>
    <t xml:space="preserve">Coordinadora o Coordinador de Procesos  </t>
  </si>
  <si>
    <t xml:space="preserve">Técnica o Técnico de Materiales </t>
  </si>
  <si>
    <t>Técnica o Técnico de Estadística Electoral</t>
  </si>
  <si>
    <t xml:space="preserve">Técnica o Técnico de Procesos  </t>
  </si>
  <si>
    <t>Contralor General</t>
  </si>
  <si>
    <t>Directora o Director Jurídico</t>
  </si>
  <si>
    <t xml:space="preserve">Directora o Director de Organización Electoral </t>
  </si>
  <si>
    <t>INSTITUTO ELECTORAL Y DE PARTICIPACIÓN CIUDADANA DEL ESTADO DE JALISCO</t>
  </si>
  <si>
    <t>MESES</t>
  </si>
  <si>
    <t>TOTAL 
ANUAL</t>
  </si>
  <si>
    <t>PRIMA VACACIONAL Y DOMINICAL</t>
  </si>
  <si>
    <t>AGUINALDO</t>
  </si>
  <si>
    <t>ISR AGUINALDO</t>
  </si>
  <si>
    <t>CUOTAS AL IMSS</t>
  </si>
  <si>
    <t>CUOTAS PARA LA VIVIENDA</t>
  </si>
  <si>
    <t>CUOTAS A PENSIONES</t>
  </si>
  <si>
    <t>CUOTAS PARA EL SISTEMA DE AHORRO PARA EL RETIRO</t>
  </si>
  <si>
    <t>AYUDA PARA DESPENSA</t>
  </si>
  <si>
    <t>AYUDA PARA PASAJE</t>
  </si>
  <si>
    <t>ESTÍMULO POR EL DÍA DEL SERVIDOR PÚBLICO</t>
  </si>
  <si>
    <t>SUELDO MENSUAL</t>
  </si>
  <si>
    <t>Coordinadora o Coordinador Secretaria de Presidencia</t>
  </si>
  <si>
    <t>Auxiliar Notificador de Oficialía de Partes</t>
  </si>
  <si>
    <t xml:space="preserve">Coordinadora o Coordinador de Contraloría </t>
  </si>
  <si>
    <t xml:space="preserve">Técnica o Técnico de Contraloría </t>
  </si>
  <si>
    <t xml:space="preserve">Auxiliar de Contraloría </t>
  </si>
  <si>
    <t xml:space="preserve">COMPENSACIÓN ADICIONAL </t>
  </si>
  <si>
    <t xml:space="preserve">Asesora o Asesor de Contraloría </t>
  </si>
  <si>
    <t>Coordinadora o coordinador</t>
  </si>
  <si>
    <t>Técnica o Tecnico</t>
  </si>
  <si>
    <t xml:space="preserve">SUELDO BASE ANUAL / SALARIOS AL PERSONAL EVENTUAL ANUAL </t>
  </si>
  <si>
    <t>GASTO ORDINARIO - PERSONAL BASE (ESTRUCTURA) Y EVENTUAL</t>
  </si>
  <si>
    <t>NIVEL (SOLO ESTRUCTURA, EVENTUAL VACÍO)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</si>
</sst>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(* #,##0.00_);_(* \(#,##0.00\);_(* &quot;-&quot;??_);_(@_)"/>
    <numFmt numFmtId="168" formatCode="_-* #,##0.00\ &quot;Pts&quot;_-;\-* #,##0.00\ &quot;Pts&quot;_-;_-* &quot;-&quot;??\ &quot;Pts&quot;_-;_-@_-"/>
    <numFmt numFmtId="169" formatCode="_(&quot;$&quot;* #,##0.00_);_(&quot;$&quot;* \(#,##0.00\);_(&quot;$&quot;* &quot;-&quot;??_);_(@_)"/>
    <numFmt numFmtId="170" formatCode="_-&quot;$&quot;* #,##0_-;\-&quot;$&quot;* #,##0_-;_-&quot;$&quot;* &quot;-&quot;??_-;_-@_-"/>
    <numFmt numFmtId="171" formatCode="_-* #,##0.000_-;\-* #,##0.000_-;_-* &quot;-&quot;??_-;_-@_-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2"/>
      <name val="Garamond"/>
      <family val="1"/>
    </font>
    <font>
      <sz val="12"/>
      <name val="Garamond"/>
      <family val="1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theme="0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1" tint="0.3499862666707357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44">
    <xf numFmtId="0" fontId="0" fillId="0" borderId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2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4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2" borderId="13" applyNumberFormat="0" applyFont="0" applyAlignment="0" applyProtection="0"/>
    <xf numFmtId="0" fontId="12" fillId="2" borderId="13" applyNumberFormat="0" applyFont="0" applyAlignment="0" applyProtection="0"/>
    <xf numFmtId="0" fontId="12" fillId="2" borderId="13" applyNumberFormat="0" applyFont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166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3" fillId="0" borderId="0"/>
    <xf numFmtId="0" fontId="13" fillId="0" borderId="0"/>
    <xf numFmtId="0" fontId="17" fillId="0" borderId="0"/>
    <xf numFmtId="166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" borderId="13" applyNumberFormat="0" applyFont="0" applyAlignment="0" applyProtection="0"/>
    <xf numFmtId="0" fontId="11" fillId="2" borderId="13" applyNumberFormat="0" applyFont="0" applyAlignment="0" applyProtection="0"/>
    <xf numFmtId="0" fontId="11" fillId="2" borderId="13" applyNumberFormat="0" applyFont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0" fillId="0" borderId="0"/>
    <xf numFmtId="167" fontId="10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6" fillId="0" borderId="0"/>
    <xf numFmtId="16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5" fillId="0" borderId="0"/>
    <xf numFmtId="9" fontId="3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164" fontId="19" fillId="0" borderId="0" xfId="1" applyNumberFormat="1" applyFont="1" applyAlignment="1">
      <alignment vertical="center"/>
    </xf>
    <xf numFmtId="0" fontId="19" fillId="0" borderId="0" xfId="1" applyFont="1" applyAlignment="1">
      <alignment vertical="center"/>
    </xf>
    <xf numFmtId="167" fontId="19" fillId="0" borderId="0" xfId="1" applyNumberFormat="1" applyFont="1" applyAlignment="1">
      <alignment vertical="center"/>
    </xf>
    <xf numFmtId="167" fontId="19" fillId="0" borderId="0" xfId="222" applyFont="1" applyBorder="1" applyAlignment="1">
      <alignment vertical="center"/>
    </xf>
    <xf numFmtId="164" fontId="19" fillId="0" borderId="0" xfId="222" applyNumberFormat="1" applyFont="1" applyBorder="1" applyAlignment="1">
      <alignment vertical="center"/>
    </xf>
    <xf numFmtId="9" fontId="19" fillId="0" borderId="0" xfId="223" applyFont="1" applyBorder="1" applyAlignment="1">
      <alignment vertical="center"/>
    </xf>
    <xf numFmtId="14" fontId="24" fillId="0" borderId="0" xfId="222" applyNumberFormat="1" applyFont="1" applyAlignment="1">
      <alignment vertical="center"/>
    </xf>
    <xf numFmtId="0" fontId="5" fillId="0" borderId="0" xfId="221" applyAlignment="1">
      <alignment vertical="center"/>
    </xf>
    <xf numFmtId="10" fontId="0" fillId="0" borderId="0" xfId="223" applyNumberFormat="1" applyFont="1" applyAlignment="1">
      <alignment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22" fillId="0" borderId="0" xfId="221" applyFont="1" applyAlignment="1">
      <alignment vertical="center"/>
    </xf>
    <xf numFmtId="164" fontId="19" fillId="0" borderId="0" xfId="222" applyNumberFormat="1" applyFont="1" applyAlignment="1">
      <alignment vertical="center"/>
    </xf>
    <xf numFmtId="170" fontId="19" fillId="0" borderId="0" xfId="206" applyNumberFormat="1" applyFont="1" applyBorder="1" applyAlignment="1">
      <alignment vertical="center"/>
    </xf>
    <xf numFmtId="164" fontId="22" fillId="0" borderId="0" xfId="222" applyNumberFormat="1" applyFont="1" applyBorder="1" applyAlignment="1">
      <alignment vertical="center"/>
    </xf>
    <xf numFmtId="164" fontId="19" fillId="0" borderId="0" xfId="222" applyNumberFormat="1" applyFont="1" applyFill="1" applyBorder="1" applyAlignment="1">
      <alignment vertical="center"/>
    </xf>
    <xf numFmtId="0" fontId="22" fillId="0" borderId="10" xfId="221" applyFont="1" applyBorder="1" applyAlignment="1">
      <alignment horizontal="left" vertical="center"/>
    </xf>
    <xf numFmtId="0" fontId="22" fillId="0" borderId="11" xfId="221" applyFont="1" applyBorder="1" applyAlignment="1">
      <alignment horizontal="center" vertical="center"/>
    </xf>
    <xf numFmtId="164" fontId="22" fillId="0" borderId="11" xfId="221" applyNumberFormat="1" applyFont="1" applyBorder="1" applyAlignment="1">
      <alignment vertical="center"/>
    </xf>
    <xf numFmtId="164" fontId="22" fillId="0" borderId="19" xfId="221" applyNumberFormat="1" applyFont="1" applyBorder="1" applyAlignment="1">
      <alignment vertical="center"/>
    </xf>
    <xf numFmtId="167" fontId="22" fillId="0" borderId="0" xfId="221" applyNumberFormat="1" applyFont="1" applyAlignment="1">
      <alignment vertical="center"/>
    </xf>
    <xf numFmtId="167" fontId="22" fillId="0" borderId="0" xfId="222" applyFont="1" applyBorder="1" applyAlignment="1">
      <alignment vertical="center"/>
    </xf>
    <xf numFmtId="0" fontId="22" fillId="0" borderId="10" xfId="221" applyFont="1" applyBorder="1" applyAlignment="1">
      <alignment vertical="center"/>
    </xf>
    <xf numFmtId="164" fontId="22" fillId="0" borderId="0" xfId="222" applyNumberFormat="1" applyFont="1" applyAlignment="1">
      <alignment vertical="center"/>
    </xf>
    <xf numFmtId="167" fontId="19" fillId="0" borderId="0" xfId="222" applyFont="1" applyAlignment="1">
      <alignment vertical="center"/>
    </xf>
    <xf numFmtId="164" fontId="22" fillId="0" borderId="0" xfId="221" applyNumberFormat="1" applyFont="1" applyAlignment="1">
      <alignment vertical="center"/>
    </xf>
    <xf numFmtId="167" fontId="22" fillId="0" borderId="0" xfId="222" applyFont="1" applyAlignment="1">
      <alignment vertical="center"/>
    </xf>
    <xf numFmtId="9" fontId="22" fillId="0" borderId="0" xfId="221" applyNumberFormat="1" applyFont="1" applyAlignment="1">
      <alignment vertical="center"/>
    </xf>
    <xf numFmtId="0" fontId="22" fillId="0" borderId="0" xfId="221" applyFont="1" applyAlignment="1">
      <alignment horizontal="center" vertical="center"/>
    </xf>
    <xf numFmtId="171" fontId="22" fillId="0" borderId="0" xfId="221" applyNumberFormat="1" applyFont="1" applyAlignment="1">
      <alignment vertical="center"/>
    </xf>
    <xf numFmtId="0" fontId="22" fillId="0" borderId="0" xfId="221" applyFont="1" applyAlignment="1">
      <alignment horizontal="right" vertical="center"/>
    </xf>
    <xf numFmtId="164" fontId="19" fillId="0" borderId="0" xfId="223" applyNumberFormat="1" applyFont="1" applyAlignment="1">
      <alignment vertical="center"/>
    </xf>
    <xf numFmtId="164" fontId="22" fillId="0" borderId="0" xfId="222" applyNumberFormat="1" applyFont="1" applyAlignment="1">
      <alignment horizontal="right" vertical="center"/>
    </xf>
    <xf numFmtId="164" fontId="22" fillId="0" borderId="0" xfId="222" applyNumberFormat="1" applyFont="1" applyFill="1" applyBorder="1" applyAlignment="1">
      <alignment vertical="center"/>
    </xf>
    <xf numFmtId="2" fontId="22" fillId="0" borderId="0" xfId="221" applyNumberFormat="1" applyFont="1" applyAlignment="1">
      <alignment vertical="center"/>
    </xf>
    <xf numFmtId="164" fontId="20" fillId="0" borderId="0" xfId="222" applyNumberFormat="1" applyFont="1" applyFill="1" applyBorder="1" applyAlignment="1">
      <alignment vertical="center"/>
    </xf>
    <xf numFmtId="164" fontId="19" fillId="0" borderId="0" xfId="222" applyNumberFormat="1" applyFont="1" applyFill="1" applyBorder="1" applyAlignment="1">
      <alignment horizontal="right" vertical="center"/>
    </xf>
    <xf numFmtId="167" fontId="22" fillId="0" borderId="0" xfId="222" applyFont="1" applyBorder="1" applyAlignment="1">
      <alignment horizontal="right" vertical="center"/>
    </xf>
    <xf numFmtId="10" fontId="19" fillId="0" borderId="0" xfId="223" applyNumberFormat="1" applyFont="1" applyFill="1" applyBorder="1" applyAlignment="1">
      <alignment vertical="center"/>
    </xf>
    <xf numFmtId="0" fontId="5" fillId="0" borderId="0" xfId="221" applyAlignment="1">
      <alignment vertical="center" wrapText="1"/>
    </xf>
    <xf numFmtId="167" fontId="22" fillId="0" borderId="0" xfId="222" applyFont="1" applyFill="1" applyBorder="1" applyAlignment="1">
      <alignment vertical="center"/>
    </xf>
    <xf numFmtId="164" fontId="20" fillId="0" borderId="0" xfId="222" applyNumberFormat="1" applyFont="1" applyFill="1" applyBorder="1" applyAlignment="1">
      <alignment horizontal="center" vertical="center"/>
    </xf>
    <xf numFmtId="164" fontId="20" fillId="0" borderId="0" xfId="222" applyNumberFormat="1" applyFont="1" applyFill="1" applyBorder="1" applyAlignment="1">
      <alignment horizontal="right" vertical="center"/>
    </xf>
    <xf numFmtId="164" fontId="23" fillId="0" borderId="0" xfId="221" applyNumberFormat="1" applyFont="1" applyAlignment="1">
      <alignment vertical="center"/>
    </xf>
    <xf numFmtId="164" fontId="23" fillId="0" borderId="0" xfId="222" applyNumberFormat="1" applyFont="1" applyFill="1" applyBorder="1" applyAlignment="1">
      <alignment vertical="center"/>
    </xf>
    <xf numFmtId="164" fontId="20" fillId="0" borderId="0" xfId="1" applyNumberFormat="1" applyFont="1" applyAlignment="1">
      <alignment horizontal="center" vertical="center"/>
    </xf>
    <xf numFmtId="43" fontId="22" fillId="0" borderId="19" xfId="221" applyNumberFormat="1" applyFont="1" applyBorder="1" applyAlignment="1">
      <alignment vertical="center"/>
    </xf>
    <xf numFmtId="0" fontId="22" fillId="0" borderId="18" xfId="221" applyFont="1" applyBorder="1" applyAlignment="1">
      <alignment horizontal="center" vertical="center"/>
    </xf>
    <xf numFmtId="0" fontId="21" fillId="15" borderId="23" xfId="1" applyFont="1" applyFill="1" applyBorder="1" applyAlignment="1">
      <alignment horizontal="center" wrapText="1"/>
    </xf>
    <xf numFmtId="0" fontId="21" fillId="15" borderId="25" xfId="1" applyFont="1" applyFill="1" applyBorder="1" applyAlignment="1">
      <alignment horizontal="center" vertical="center" wrapText="1"/>
    </xf>
    <xf numFmtId="164" fontId="21" fillId="15" borderId="25" xfId="222" applyNumberFormat="1" applyFont="1" applyFill="1" applyBorder="1" applyAlignment="1">
      <alignment horizontal="center" vertical="center" wrapText="1"/>
    </xf>
    <xf numFmtId="0" fontId="22" fillId="0" borderId="10" xfId="240" applyFont="1" applyBorder="1" applyAlignment="1">
      <alignment vertical="center"/>
    </xf>
    <xf numFmtId="0" fontId="22" fillId="0" borderId="11" xfId="240" applyFont="1" applyBorder="1" applyAlignment="1">
      <alignment horizontal="center" vertical="center"/>
    </xf>
    <xf numFmtId="164" fontId="22" fillId="0" borderId="11" xfId="240" applyNumberFormat="1" applyFont="1" applyBorder="1" applyAlignment="1">
      <alignment vertical="center"/>
    </xf>
    <xf numFmtId="164" fontId="22" fillId="0" borderId="19" xfId="240" applyNumberFormat="1" applyFont="1" applyBorder="1" applyAlignment="1">
      <alignment vertical="center"/>
    </xf>
    <xf numFmtId="0" fontId="22" fillId="0" borderId="11" xfId="221" applyFont="1" applyBorder="1" applyAlignment="1">
      <alignment vertical="center"/>
    </xf>
    <xf numFmtId="0" fontId="22" fillId="0" borderId="18" xfId="221" applyFont="1" applyBorder="1" applyAlignment="1">
      <alignment vertical="center"/>
    </xf>
    <xf numFmtId="0" fontId="22" fillId="0" borderId="18" xfId="240" applyFont="1" applyBorder="1" applyAlignment="1">
      <alignment horizontal="center" vertical="center"/>
    </xf>
    <xf numFmtId="0" fontId="22" fillId="0" borderId="16" xfId="221" applyFont="1" applyBorder="1" applyAlignment="1">
      <alignment vertical="center"/>
    </xf>
    <xf numFmtId="0" fontId="22" fillId="0" borderId="15" xfId="221" applyFont="1" applyBorder="1" applyAlignment="1">
      <alignment horizontal="center" vertical="center"/>
    </xf>
    <xf numFmtId="164" fontId="22" fillId="0" borderId="15" xfId="221" applyNumberFormat="1" applyFont="1" applyBorder="1" applyAlignment="1">
      <alignment vertical="center"/>
    </xf>
    <xf numFmtId="164" fontId="22" fillId="0" borderId="26" xfId="221" applyNumberFormat="1" applyFont="1" applyBorder="1" applyAlignment="1">
      <alignment vertical="center"/>
    </xf>
    <xf numFmtId="0" fontId="21" fillId="15" borderId="20" xfId="1" applyFont="1" applyFill="1" applyBorder="1" applyAlignment="1">
      <alignment horizontal="center" vertical="center" wrapText="1"/>
    </xf>
    <xf numFmtId="0" fontId="21" fillId="15" borderId="21" xfId="1" applyFont="1" applyFill="1" applyBorder="1" applyAlignment="1">
      <alignment horizontal="center" vertical="center" wrapText="1"/>
    </xf>
    <xf numFmtId="0" fontId="5" fillId="0" borderId="0" xfId="221" applyAlignment="1">
      <alignment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1" fillId="15" borderId="8" xfId="1" applyFont="1" applyFill="1" applyBorder="1" applyAlignment="1">
      <alignment horizontal="center" vertical="center" wrapText="1"/>
    </xf>
    <xf numFmtId="0" fontId="21" fillId="15" borderId="16" xfId="1" applyFont="1" applyFill="1" applyBorder="1" applyAlignment="1">
      <alignment horizontal="center" vertical="center" wrapText="1"/>
    </xf>
    <xf numFmtId="0" fontId="21" fillId="15" borderId="9" xfId="1" applyFont="1" applyFill="1" applyBorder="1" applyAlignment="1">
      <alignment horizontal="center" vertical="center" wrapText="1"/>
    </xf>
    <xf numFmtId="0" fontId="21" fillId="15" borderId="15" xfId="1" applyFont="1" applyFill="1" applyBorder="1" applyAlignment="1">
      <alignment horizontal="center" vertical="center" wrapText="1"/>
    </xf>
    <xf numFmtId="0" fontId="21" fillId="15" borderId="17" xfId="1" applyFont="1" applyFill="1" applyBorder="1" applyAlignment="1">
      <alignment horizontal="center" vertical="center" wrapText="1"/>
    </xf>
    <xf numFmtId="0" fontId="21" fillId="15" borderId="24" xfId="1" applyFont="1" applyFill="1" applyBorder="1" applyAlignment="1">
      <alignment horizontal="center" vertical="center" wrapText="1"/>
    </xf>
    <xf numFmtId="0" fontId="21" fillId="15" borderId="22" xfId="1" applyFont="1" applyFill="1" applyBorder="1" applyAlignment="1">
      <alignment horizontal="center" vertical="center" wrapText="1"/>
    </xf>
    <xf numFmtId="0" fontId="21" fillId="15" borderId="14" xfId="1" applyFont="1" applyFill="1" applyBorder="1" applyAlignment="1">
      <alignment horizontal="center" vertical="center" wrapText="1"/>
    </xf>
  </cellXfs>
  <cellStyles count="244">
    <cellStyle name="20% - Énfasis1 2" xfId="9" xr:uid="{00000000-0005-0000-0000-000000000000}"/>
    <cellStyle name="20% - Énfasis1 2 2" xfId="146" xr:uid="{00000000-0005-0000-0000-000001000000}"/>
    <cellStyle name="20% - Énfasis1 3" xfId="10" xr:uid="{00000000-0005-0000-0000-000002000000}"/>
    <cellStyle name="20% - Énfasis1 3 2" xfId="147" xr:uid="{00000000-0005-0000-0000-000003000000}"/>
    <cellStyle name="20% - Énfasis2 2" xfId="11" xr:uid="{00000000-0005-0000-0000-000004000000}"/>
    <cellStyle name="20% - Énfasis2 2 2" xfId="148" xr:uid="{00000000-0005-0000-0000-000005000000}"/>
    <cellStyle name="20% - Énfasis2 3" xfId="12" xr:uid="{00000000-0005-0000-0000-000006000000}"/>
    <cellStyle name="20% - Énfasis2 3 2" xfId="149" xr:uid="{00000000-0005-0000-0000-000007000000}"/>
    <cellStyle name="20% - Énfasis3 2" xfId="13" xr:uid="{00000000-0005-0000-0000-000008000000}"/>
    <cellStyle name="20% - Énfasis3 2 2" xfId="150" xr:uid="{00000000-0005-0000-0000-000009000000}"/>
    <cellStyle name="20% - Énfasis3 3" xfId="14" xr:uid="{00000000-0005-0000-0000-00000A000000}"/>
    <cellStyle name="20% - Énfasis3 3 2" xfId="151" xr:uid="{00000000-0005-0000-0000-00000B000000}"/>
    <cellStyle name="20% - Énfasis4 2" xfId="15" xr:uid="{00000000-0005-0000-0000-00000C000000}"/>
    <cellStyle name="20% - Énfasis4 2 2" xfId="152" xr:uid="{00000000-0005-0000-0000-00000D000000}"/>
    <cellStyle name="20% - Énfasis4 3" xfId="16" xr:uid="{00000000-0005-0000-0000-00000E000000}"/>
    <cellStyle name="20% - Énfasis4 3 2" xfId="153" xr:uid="{00000000-0005-0000-0000-00000F000000}"/>
    <cellStyle name="20% - Énfasis5 2" xfId="17" xr:uid="{00000000-0005-0000-0000-000010000000}"/>
    <cellStyle name="20% - Énfasis5 2 2" xfId="154" xr:uid="{00000000-0005-0000-0000-000011000000}"/>
    <cellStyle name="20% - Énfasis5 3" xfId="18" xr:uid="{00000000-0005-0000-0000-000012000000}"/>
    <cellStyle name="20% - Énfasis5 3 2" xfId="155" xr:uid="{00000000-0005-0000-0000-000013000000}"/>
    <cellStyle name="20% - Énfasis6 2" xfId="19" xr:uid="{00000000-0005-0000-0000-000014000000}"/>
    <cellStyle name="20% - Énfasis6 2 2" xfId="156" xr:uid="{00000000-0005-0000-0000-000015000000}"/>
    <cellStyle name="20% - Énfasis6 3" xfId="20" xr:uid="{00000000-0005-0000-0000-000016000000}"/>
    <cellStyle name="20% - Énfasis6 3 2" xfId="157" xr:uid="{00000000-0005-0000-0000-000017000000}"/>
    <cellStyle name="40% - Énfasis1 2" xfId="21" xr:uid="{00000000-0005-0000-0000-000018000000}"/>
    <cellStyle name="40% - Énfasis1 2 2" xfId="158" xr:uid="{00000000-0005-0000-0000-000019000000}"/>
    <cellStyle name="40% - Énfasis1 3" xfId="22" xr:uid="{00000000-0005-0000-0000-00001A000000}"/>
    <cellStyle name="40% - Énfasis1 3 2" xfId="159" xr:uid="{00000000-0005-0000-0000-00001B000000}"/>
    <cellStyle name="40% - Énfasis2 2" xfId="23" xr:uid="{00000000-0005-0000-0000-00001C000000}"/>
    <cellStyle name="40% - Énfasis2 2 2" xfId="160" xr:uid="{00000000-0005-0000-0000-00001D000000}"/>
    <cellStyle name="40% - Énfasis2 3" xfId="24" xr:uid="{00000000-0005-0000-0000-00001E000000}"/>
    <cellStyle name="40% - Énfasis2 3 2" xfId="161" xr:uid="{00000000-0005-0000-0000-00001F000000}"/>
    <cellStyle name="40% - Énfasis3 2" xfId="25" xr:uid="{00000000-0005-0000-0000-000020000000}"/>
    <cellStyle name="40% - Énfasis3 2 2" xfId="162" xr:uid="{00000000-0005-0000-0000-000021000000}"/>
    <cellStyle name="40% - Énfasis3 3" xfId="26" xr:uid="{00000000-0005-0000-0000-000022000000}"/>
    <cellStyle name="40% - Énfasis3 3 2" xfId="163" xr:uid="{00000000-0005-0000-0000-000023000000}"/>
    <cellStyle name="40% - Énfasis4 2" xfId="27" xr:uid="{00000000-0005-0000-0000-000024000000}"/>
    <cellStyle name="40% - Énfasis4 2 2" xfId="164" xr:uid="{00000000-0005-0000-0000-000025000000}"/>
    <cellStyle name="40% - Énfasis4 3" xfId="28" xr:uid="{00000000-0005-0000-0000-000026000000}"/>
    <cellStyle name="40% - Énfasis4 3 2" xfId="165" xr:uid="{00000000-0005-0000-0000-000027000000}"/>
    <cellStyle name="40% - Énfasis5 2" xfId="29" xr:uid="{00000000-0005-0000-0000-000028000000}"/>
    <cellStyle name="40% - Énfasis5 2 2" xfId="166" xr:uid="{00000000-0005-0000-0000-000029000000}"/>
    <cellStyle name="40% - Énfasis5 3" xfId="30" xr:uid="{00000000-0005-0000-0000-00002A000000}"/>
    <cellStyle name="40% - Énfasis5 3 2" xfId="167" xr:uid="{00000000-0005-0000-0000-00002B000000}"/>
    <cellStyle name="40% - Énfasis6 2" xfId="31" xr:uid="{00000000-0005-0000-0000-00002C000000}"/>
    <cellStyle name="40% - Énfasis6 2 2" xfId="168" xr:uid="{00000000-0005-0000-0000-00002D000000}"/>
    <cellStyle name="40% - Énfasis6 3" xfId="32" xr:uid="{00000000-0005-0000-0000-00002E000000}"/>
    <cellStyle name="40% - Énfasis6 3 2" xfId="169" xr:uid="{00000000-0005-0000-0000-00002F000000}"/>
    <cellStyle name="Euro" xfId="33" xr:uid="{00000000-0005-0000-0000-000030000000}"/>
    <cellStyle name="Euro 2" xfId="34" xr:uid="{00000000-0005-0000-0000-000031000000}"/>
    <cellStyle name="Euro 3" xfId="35" xr:uid="{00000000-0005-0000-0000-000032000000}"/>
    <cellStyle name="Followed Hyperlink" xfId="36" xr:uid="{00000000-0005-0000-0000-000033000000}"/>
    <cellStyle name="Followed Hyperlink 10" xfId="37" xr:uid="{00000000-0005-0000-0000-000034000000}"/>
    <cellStyle name="Followed Hyperlink 10 2" xfId="38" xr:uid="{00000000-0005-0000-0000-000035000000}"/>
    <cellStyle name="Followed Hyperlink 11" xfId="39" xr:uid="{00000000-0005-0000-0000-000036000000}"/>
    <cellStyle name="Followed Hyperlink 12" xfId="40" xr:uid="{00000000-0005-0000-0000-000037000000}"/>
    <cellStyle name="Followed Hyperlink 12 2" xfId="41" xr:uid="{00000000-0005-0000-0000-000038000000}"/>
    <cellStyle name="Followed Hyperlink 2" xfId="42" xr:uid="{00000000-0005-0000-0000-000039000000}"/>
    <cellStyle name="Followed Hyperlink 3" xfId="43" xr:uid="{00000000-0005-0000-0000-00003A000000}"/>
    <cellStyle name="Followed Hyperlink 3 2" xfId="44" xr:uid="{00000000-0005-0000-0000-00003B000000}"/>
    <cellStyle name="Followed Hyperlink 3 3" xfId="45" xr:uid="{00000000-0005-0000-0000-00003C000000}"/>
    <cellStyle name="Followed Hyperlink 4" xfId="46" xr:uid="{00000000-0005-0000-0000-00003D000000}"/>
    <cellStyle name="Followed Hyperlink 5" xfId="47" xr:uid="{00000000-0005-0000-0000-00003E000000}"/>
    <cellStyle name="Followed Hyperlink 5 2" xfId="48" xr:uid="{00000000-0005-0000-0000-00003F000000}"/>
    <cellStyle name="Followed Hyperlink 6" xfId="49" xr:uid="{00000000-0005-0000-0000-000040000000}"/>
    <cellStyle name="Followed Hyperlink 7" xfId="50" xr:uid="{00000000-0005-0000-0000-000041000000}"/>
    <cellStyle name="Followed Hyperlink 7 2" xfId="51" xr:uid="{00000000-0005-0000-0000-000042000000}"/>
    <cellStyle name="Followed Hyperlink 8" xfId="52" xr:uid="{00000000-0005-0000-0000-000043000000}"/>
    <cellStyle name="Followed Hyperlink 9" xfId="53" xr:uid="{00000000-0005-0000-0000-000044000000}"/>
    <cellStyle name="Hyperlink" xfId="54" xr:uid="{00000000-0005-0000-0000-000045000000}"/>
    <cellStyle name="Hyperlink 10" xfId="55" xr:uid="{00000000-0005-0000-0000-000046000000}"/>
    <cellStyle name="Hyperlink 10 2" xfId="56" xr:uid="{00000000-0005-0000-0000-000047000000}"/>
    <cellStyle name="Hyperlink 11" xfId="57" xr:uid="{00000000-0005-0000-0000-000048000000}"/>
    <cellStyle name="Hyperlink 12" xfId="58" xr:uid="{00000000-0005-0000-0000-000049000000}"/>
    <cellStyle name="Hyperlink 12 2" xfId="59" xr:uid="{00000000-0005-0000-0000-00004A000000}"/>
    <cellStyle name="Hyperlink 2" xfId="60" xr:uid="{00000000-0005-0000-0000-00004B000000}"/>
    <cellStyle name="Hyperlink 3" xfId="61" xr:uid="{00000000-0005-0000-0000-00004C000000}"/>
    <cellStyle name="Hyperlink 3 2" xfId="62" xr:uid="{00000000-0005-0000-0000-00004D000000}"/>
    <cellStyle name="Hyperlink 3 3" xfId="63" xr:uid="{00000000-0005-0000-0000-00004E000000}"/>
    <cellStyle name="Hyperlink 4" xfId="64" xr:uid="{00000000-0005-0000-0000-00004F000000}"/>
    <cellStyle name="Hyperlink 5" xfId="65" xr:uid="{00000000-0005-0000-0000-000050000000}"/>
    <cellStyle name="Hyperlink 5 2" xfId="66" xr:uid="{00000000-0005-0000-0000-000051000000}"/>
    <cellStyle name="Hyperlink 6" xfId="67" xr:uid="{00000000-0005-0000-0000-000052000000}"/>
    <cellStyle name="Hyperlink 7" xfId="68" xr:uid="{00000000-0005-0000-0000-000053000000}"/>
    <cellStyle name="Hyperlink 7 2" xfId="69" xr:uid="{00000000-0005-0000-0000-000054000000}"/>
    <cellStyle name="Hyperlink 8" xfId="70" xr:uid="{00000000-0005-0000-0000-000055000000}"/>
    <cellStyle name="Hyperlink 9" xfId="71" xr:uid="{00000000-0005-0000-0000-000056000000}"/>
    <cellStyle name="Millares 10" xfId="209" xr:uid="{0C063C5B-A4F0-46B9-B3F6-8C2B219FB75B}"/>
    <cellStyle name="Millares 10 2" xfId="219" xr:uid="{7FA4121B-C35A-4232-8A44-0110D626F74B}"/>
    <cellStyle name="Millares 11" xfId="212" xr:uid="{CFA86F7F-36AA-465B-AFBF-A969DA9A8046}"/>
    <cellStyle name="Millares 12" xfId="215" xr:uid="{912D9AB6-2B24-4317-84E0-5ECB3A80F4BE}"/>
    <cellStyle name="Millares 13" xfId="222" xr:uid="{29494B5F-9EEB-41ED-B18A-81BAD4FF51AB}"/>
    <cellStyle name="Millares 13 2" xfId="234" xr:uid="{01F4266D-2478-4F2A-A1D9-62D58A4F5A98}"/>
    <cellStyle name="Millares 13 3" xfId="241" xr:uid="{89E66962-71FB-4EB8-A69F-0E4E8E7E7959}"/>
    <cellStyle name="Millares 14" xfId="225" xr:uid="{E947FECA-4094-401F-AAE4-424ECC02EAD1}"/>
    <cellStyle name="Millares 15" xfId="227" xr:uid="{6ACAAD25-4D53-4379-BC2A-B1C1D4525447}"/>
    <cellStyle name="Millares 2" xfId="2" xr:uid="{00000000-0005-0000-0000-000058000000}"/>
    <cellStyle name="Millares 2 2" xfId="72" xr:uid="{00000000-0005-0000-0000-000059000000}"/>
    <cellStyle name="Millares 2 3" xfId="73" xr:uid="{00000000-0005-0000-0000-00005A000000}"/>
    <cellStyle name="Millares 2 3 2" xfId="74" xr:uid="{00000000-0005-0000-0000-00005B000000}"/>
    <cellStyle name="Millares 2 3 3" xfId="130" xr:uid="{00000000-0005-0000-0000-00005C000000}"/>
    <cellStyle name="Millares 2 3 3 2" xfId="201" xr:uid="{00000000-0005-0000-0000-00005D000000}"/>
    <cellStyle name="Millares 2 3 4" xfId="170" xr:uid="{00000000-0005-0000-0000-00005E000000}"/>
    <cellStyle name="Millares 2 4" xfId="128" xr:uid="{00000000-0005-0000-0000-00005F000000}"/>
    <cellStyle name="Millares 2 5" xfId="139" xr:uid="{00000000-0005-0000-0000-000060000000}"/>
    <cellStyle name="Millares 3" xfId="7" xr:uid="{00000000-0005-0000-0000-000061000000}"/>
    <cellStyle name="Millares 3 2" xfId="75" xr:uid="{00000000-0005-0000-0000-000062000000}"/>
    <cellStyle name="Millares 3 3" xfId="76" xr:uid="{00000000-0005-0000-0000-000063000000}"/>
    <cellStyle name="Millares 3 4" xfId="144" xr:uid="{00000000-0005-0000-0000-000064000000}"/>
    <cellStyle name="Millares 4" xfId="77" xr:uid="{00000000-0005-0000-0000-000065000000}"/>
    <cellStyle name="Millares 4 2" xfId="171" xr:uid="{00000000-0005-0000-0000-000066000000}"/>
    <cellStyle name="Millares 5" xfId="78" xr:uid="{00000000-0005-0000-0000-000067000000}"/>
    <cellStyle name="Millares 5 2" xfId="131" xr:uid="{00000000-0005-0000-0000-000068000000}"/>
    <cellStyle name="Millares 5 2 2" xfId="202" xr:uid="{00000000-0005-0000-0000-000069000000}"/>
    <cellStyle name="Millares 5 3" xfId="172" xr:uid="{00000000-0005-0000-0000-00006A000000}"/>
    <cellStyle name="Millares 6" xfId="127" xr:uid="{00000000-0005-0000-0000-00006B000000}"/>
    <cellStyle name="Millares 6 2" xfId="135" xr:uid="{00000000-0005-0000-0000-00006C000000}"/>
    <cellStyle name="Millares 7" xfId="4" xr:uid="{00000000-0005-0000-0000-00006D000000}"/>
    <cellStyle name="Millares 7 2" xfId="141" xr:uid="{00000000-0005-0000-0000-00006E000000}"/>
    <cellStyle name="Millares 8" xfId="137" xr:uid="{00000000-0005-0000-0000-00006F000000}"/>
    <cellStyle name="Millares 9" xfId="205" xr:uid="{F0D8A1A0-85A4-4490-B025-55B2E9F1BCE3}"/>
    <cellStyle name="Millares 9 2" xfId="231" xr:uid="{EBC5E6EE-0C5F-4FFD-850F-B902A29420D1}"/>
    <cellStyle name="Millares 9 3" xfId="238" xr:uid="{F97DD8F6-E9E5-45DE-B088-C9C92BF5137B}"/>
    <cellStyle name="Moneda 2" xfId="6" xr:uid="{00000000-0005-0000-0000-000071000000}"/>
    <cellStyle name="Moneda 2 2" xfId="79" xr:uid="{00000000-0005-0000-0000-000072000000}"/>
    <cellStyle name="Moneda 2 2 2" xfId="80" xr:uid="{00000000-0005-0000-0000-000073000000}"/>
    <cellStyle name="Moneda 2 2 2 2" xfId="174" xr:uid="{00000000-0005-0000-0000-000074000000}"/>
    <cellStyle name="Moneda 2 2 3" xfId="173" xr:uid="{00000000-0005-0000-0000-000075000000}"/>
    <cellStyle name="Moneda 2 3" xfId="81" xr:uid="{00000000-0005-0000-0000-000076000000}"/>
    <cellStyle name="Moneda 2 3 2" xfId="175" xr:uid="{00000000-0005-0000-0000-000077000000}"/>
    <cellStyle name="Moneda 2 4" xfId="82" xr:uid="{00000000-0005-0000-0000-000078000000}"/>
    <cellStyle name="Moneda 2 5" xfId="83" xr:uid="{00000000-0005-0000-0000-000079000000}"/>
    <cellStyle name="Moneda 2 5 2" xfId="176" xr:uid="{00000000-0005-0000-0000-00007A000000}"/>
    <cellStyle name="Moneda 2 6" xfId="143" xr:uid="{00000000-0005-0000-0000-00007B000000}"/>
    <cellStyle name="Moneda 2 7" xfId="206" xr:uid="{EF153D0F-B003-46EB-A0E9-C1D3C96012CC}"/>
    <cellStyle name="Moneda 3" xfId="8" xr:uid="{00000000-0005-0000-0000-00007C000000}"/>
    <cellStyle name="Moneda 3 2" xfId="145" xr:uid="{00000000-0005-0000-0000-00007D000000}"/>
    <cellStyle name="Moneda 4" xfId="84" xr:uid="{00000000-0005-0000-0000-00007E000000}"/>
    <cellStyle name="Moneda 4 2" xfId="177" xr:uid="{00000000-0005-0000-0000-00007F000000}"/>
    <cellStyle name="Moneda 5" xfId="125" xr:uid="{00000000-0005-0000-0000-000080000000}"/>
    <cellStyle name="Moneda 5 2" xfId="200" xr:uid="{00000000-0005-0000-0000-000081000000}"/>
    <cellStyle name="Moneda 6" xfId="138" xr:uid="{00000000-0005-0000-0000-000082000000}"/>
    <cellStyle name="Normal" xfId="0" builtinId="0"/>
    <cellStyle name="Normal 10" xfId="85" xr:uid="{00000000-0005-0000-0000-000084000000}"/>
    <cellStyle name="Normal 10 2" xfId="178" xr:uid="{00000000-0005-0000-0000-000085000000}"/>
    <cellStyle name="Normal 11" xfId="86" xr:uid="{00000000-0005-0000-0000-000086000000}"/>
    <cellStyle name="Normal 11 2" xfId="132" xr:uid="{00000000-0005-0000-0000-000087000000}"/>
    <cellStyle name="Normal 12" xfId="126" xr:uid="{00000000-0005-0000-0000-000088000000}"/>
    <cellStyle name="Normal 12 2" xfId="134" xr:uid="{00000000-0005-0000-0000-000089000000}"/>
    <cellStyle name="Normal 13" xfId="3" xr:uid="{00000000-0005-0000-0000-00008A000000}"/>
    <cellStyle name="Normal 13 2" xfId="140" xr:uid="{00000000-0005-0000-0000-00008B000000}"/>
    <cellStyle name="Normal 14" xfId="204" xr:uid="{155266A5-7CF7-40A2-AD03-49BDDA851514}"/>
    <cellStyle name="Normal 14 2" xfId="217" xr:uid="{FDE5DC9A-43DE-47CB-8A79-B7EC1418EF2D}"/>
    <cellStyle name="Normal 14 2 2" xfId="236" xr:uid="{E2869A0F-7AD3-4255-BD24-FAE7A286D057}"/>
    <cellStyle name="Normal 14 2 3" xfId="243" xr:uid="{98D76709-F355-437B-84A4-8E61FE084F93}"/>
    <cellStyle name="Normal 14 3" xfId="230" xr:uid="{3093CC4F-78A4-41C5-B3AC-FEF8F016C4EC}"/>
    <cellStyle name="Normal 14 4" xfId="237" xr:uid="{098E22CD-B645-4339-883E-B6827BC31CDB}"/>
    <cellStyle name="Normal 15" xfId="208" xr:uid="{43A8253D-D185-4CFB-97FA-16510F2A8051}"/>
    <cellStyle name="Normal 15 2" xfId="218" xr:uid="{DE3F85F6-F216-47CF-A70E-84AF7DB7BE99}"/>
    <cellStyle name="Normal 16" xfId="211" xr:uid="{2FA3FB86-0699-4CDC-B927-3AA363A22099}"/>
    <cellStyle name="Normal 17" xfId="203" xr:uid="{51AFC5C6-794E-A248-AFE9-F7A03F497556}"/>
    <cellStyle name="Normal 18" xfId="214" xr:uid="{565E6A4B-5D05-4A30-AC1F-6A33417B02AA}"/>
    <cellStyle name="Normal 19" xfId="221" xr:uid="{95DE8D1B-D057-4BEE-B4E8-90A65571C8A8}"/>
    <cellStyle name="Normal 19 2" xfId="228" xr:uid="{4886D3B8-9D25-4167-A797-99E81D4E5593}"/>
    <cellStyle name="Normal 19 3" xfId="233" xr:uid="{ED7EFA25-94A3-40AC-B59E-B2EFD831BE54}"/>
    <cellStyle name="Normal 19 4" xfId="240" xr:uid="{93A4E420-6341-465A-B599-19F81313BAC8}"/>
    <cellStyle name="Normal 2" xfId="1" xr:uid="{00000000-0005-0000-0000-00008C000000}"/>
    <cellStyle name="Normal 2 2" xfId="87" xr:uid="{00000000-0005-0000-0000-00008D000000}"/>
    <cellStyle name="Normal 2 3" xfId="88" xr:uid="{00000000-0005-0000-0000-00008E000000}"/>
    <cellStyle name="Normal 2 3 2" xfId="89" xr:uid="{00000000-0005-0000-0000-00008F000000}"/>
    <cellStyle name="Normal 2 4" xfId="90" xr:uid="{00000000-0005-0000-0000-000090000000}"/>
    <cellStyle name="Normal 2 5" xfId="91" xr:uid="{00000000-0005-0000-0000-000091000000}"/>
    <cellStyle name="Normal 2 5 2" xfId="179" xr:uid="{00000000-0005-0000-0000-000092000000}"/>
    <cellStyle name="Normal 2 6" xfId="92" xr:uid="{00000000-0005-0000-0000-000093000000}"/>
    <cellStyle name="Normal 2 6 2" xfId="180" xr:uid="{00000000-0005-0000-0000-000094000000}"/>
    <cellStyle name="Normal 2 7" xfId="93" xr:uid="{00000000-0005-0000-0000-000095000000}"/>
    <cellStyle name="Normal 2 7 2" xfId="133" xr:uid="{00000000-0005-0000-0000-000096000000}"/>
    <cellStyle name="Normal 20" xfId="224" xr:uid="{2AD29691-DF84-4C08-AF0D-625E5BC8293B}"/>
    <cellStyle name="Normal 21" xfId="226" xr:uid="{214AE63D-0F66-41BD-9905-3C4FF571FE28}"/>
    <cellStyle name="Normal 3" xfId="94" xr:uid="{00000000-0005-0000-0000-000097000000}"/>
    <cellStyle name="Normal 3 2" xfId="95" xr:uid="{00000000-0005-0000-0000-000098000000}"/>
    <cellStyle name="Normal 3 2 2" xfId="96" xr:uid="{00000000-0005-0000-0000-000099000000}"/>
    <cellStyle name="Normal 3 2 3" xfId="181" xr:uid="{00000000-0005-0000-0000-00009A000000}"/>
    <cellStyle name="Normal 3 3" xfId="97" xr:uid="{00000000-0005-0000-0000-00009B000000}"/>
    <cellStyle name="Normal 3 4" xfId="98" xr:uid="{00000000-0005-0000-0000-00009C000000}"/>
    <cellStyle name="Normal 3 4 2" xfId="99" xr:uid="{00000000-0005-0000-0000-00009D000000}"/>
    <cellStyle name="Normal 3 4 2 2" xfId="100" xr:uid="{00000000-0005-0000-0000-00009E000000}"/>
    <cellStyle name="Normal 3 4 2 2 2" xfId="184" xr:uid="{00000000-0005-0000-0000-00009F000000}"/>
    <cellStyle name="Normal 3 4 2 3" xfId="183" xr:uid="{00000000-0005-0000-0000-0000A0000000}"/>
    <cellStyle name="Normal 3 4 3" xfId="182" xr:uid="{00000000-0005-0000-0000-0000A1000000}"/>
    <cellStyle name="Normal 3 5" xfId="101" xr:uid="{00000000-0005-0000-0000-0000A2000000}"/>
    <cellStyle name="Normal 3 5 2" xfId="185" xr:uid="{00000000-0005-0000-0000-0000A3000000}"/>
    <cellStyle name="Normal 3 6" xfId="102" xr:uid="{00000000-0005-0000-0000-0000A4000000}"/>
    <cellStyle name="Normal 3 6 2" xfId="186" xr:uid="{00000000-0005-0000-0000-0000A5000000}"/>
    <cellStyle name="Normal 4" xfId="103" xr:uid="{00000000-0005-0000-0000-0000A6000000}"/>
    <cellStyle name="Normal 4 2" xfId="104" xr:uid="{00000000-0005-0000-0000-0000A7000000}"/>
    <cellStyle name="Normal 4 2 2" xfId="187" xr:uid="{00000000-0005-0000-0000-0000A8000000}"/>
    <cellStyle name="Normal 4 3" xfId="105" xr:uid="{00000000-0005-0000-0000-0000A9000000}"/>
    <cellStyle name="Normal 4 3 2" xfId="188" xr:uid="{00000000-0005-0000-0000-0000AA000000}"/>
    <cellStyle name="Normal 4 4" xfId="106" xr:uid="{00000000-0005-0000-0000-0000AB000000}"/>
    <cellStyle name="Normal 5" xfId="107" xr:uid="{00000000-0005-0000-0000-0000AC000000}"/>
    <cellStyle name="Normal 5 2" xfId="108" xr:uid="{00000000-0005-0000-0000-0000AD000000}"/>
    <cellStyle name="Normal 5 3" xfId="109" xr:uid="{00000000-0005-0000-0000-0000AE000000}"/>
    <cellStyle name="Normal 5 3 2" xfId="189" xr:uid="{00000000-0005-0000-0000-0000AF000000}"/>
    <cellStyle name="Normal 6" xfId="110" xr:uid="{00000000-0005-0000-0000-0000B0000000}"/>
    <cellStyle name="Normal 6 2" xfId="111" xr:uid="{00000000-0005-0000-0000-0000B1000000}"/>
    <cellStyle name="Normal 6 3" xfId="190" xr:uid="{00000000-0005-0000-0000-0000B2000000}"/>
    <cellStyle name="Normal 7" xfId="112" xr:uid="{00000000-0005-0000-0000-0000B3000000}"/>
    <cellStyle name="Normal 7 2" xfId="113" xr:uid="{00000000-0005-0000-0000-0000B4000000}"/>
    <cellStyle name="Normal 7 3" xfId="114" xr:uid="{00000000-0005-0000-0000-0000B5000000}"/>
    <cellStyle name="Normal 7 3 2" xfId="115" xr:uid="{00000000-0005-0000-0000-0000B6000000}"/>
    <cellStyle name="Normal 7 3 2 2" xfId="193" xr:uid="{00000000-0005-0000-0000-0000B7000000}"/>
    <cellStyle name="Normal 7 3 3" xfId="192" xr:uid="{00000000-0005-0000-0000-0000B8000000}"/>
    <cellStyle name="Normal 7 4" xfId="191" xr:uid="{00000000-0005-0000-0000-0000B9000000}"/>
    <cellStyle name="Normal 8" xfId="116" xr:uid="{00000000-0005-0000-0000-0000BA000000}"/>
    <cellStyle name="Normal 8 2" xfId="194" xr:uid="{00000000-0005-0000-0000-0000BB000000}"/>
    <cellStyle name="Normal 9" xfId="117" xr:uid="{00000000-0005-0000-0000-0000BC000000}"/>
    <cellStyle name="Normal 9 2" xfId="195" xr:uid="{00000000-0005-0000-0000-0000BD000000}"/>
    <cellStyle name="Notas 2" xfId="118" xr:uid="{00000000-0005-0000-0000-0000BF000000}"/>
    <cellStyle name="Notas 2 2" xfId="119" xr:uid="{00000000-0005-0000-0000-0000C0000000}"/>
    <cellStyle name="Notas 2 2 2" xfId="197" xr:uid="{00000000-0005-0000-0000-0000C1000000}"/>
    <cellStyle name="Notas 2 3" xfId="196" xr:uid="{00000000-0005-0000-0000-0000C2000000}"/>
    <cellStyle name="Notas 3" xfId="120" xr:uid="{00000000-0005-0000-0000-0000C3000000}"/>
    <cellStyle name="Notas 3 2" xfId="198" xr:uid="{00000000-0005-0000-0000-0000C4000000}"/>
    <cellStyle name="Porcentaje 10" xfId="216" xr:uid="{1E47920A-1444-4C0D-9917-40E0E7E8D526}"/>
    <cellStyle name="Porcentaje 11" xfId="223" xr:uid="{C7B9F54E-C297-4632-8380-A3CDE48A183C}"/>
    <cellStyle name="Porcentaje 11 2" xfId="235" xr:uid="{45249D3F-93DF-4F7C-B6F0-E73ACE7B58E1}"/>
    <cellStyle name="Porcentaje 11 3" xfId="242" xr:uid="{DA8A19A1-7BDD-4D08-B011-52357B2A433A}"/>
    <cellStyle name="Porcentaje 12" xfId="229" xr:uid="{DA071329-EEBD-4D1E-A65D-04A6D4DEFC5F}"/>
    <cellStyle name="Porcentaje 2" xfId="121" xr:uid="{00000000-0005-0000-0000-0000C5000000}"/>
    <cellStyle name="Porcentaje 2 2" xfId="122" xr:uid="{00000000-0005-0000-0000-0000C6000000}"/>
    <cellStyle name="Porcentaje 3" xfId="123" xr:uid="{00000000-0005-0000-0000-0000C7000000}"/>
    <cellStyle name="Porcentaje 4" xfId="124" xr:uid="{00000000-0005-0000-0000-0000C8000000}"/>
    <cellStyle name="Porcentaje 4 2" xfId="199" xr:uid="{00000000-0005-0000-0000-0000C9000000}"/>
    <cellStyle name="Porcentaje 5" xfId="129" xr:uid="{00000000-0005-0000-0000-0000CA000000}"/>
    <cellStyle name="Porcentaje 5 2" xfId="136" xr:uid="{00000000-0005-0000-0000-0000CB000000}"/>
    <cellStyle name="Porcentaje 6" xfId="5" xr:uid="{00000000-0005-0000-0000-0000CC000000}"/>
    <cellStyle name="Porcentaje 6 2" xfId="142" xr:uid="{00000000-0005-0000-0000-0000CD000000}"/>
    <cellStyle name="Porcentaje 7" xfId="207" xr:uid="{93B6B4A5-CA67-487C-9089-E549EF12E5EF}"/>
    <cellStyle name="Porcentaje 7 2" xfId="232" xr:uid="{D43002BE-3A2E-42D8-A72D-2CAB520FDB12}"/>
    <cellStyle name="Porcentaje 7 3" xfId="239" xr:uid="{19489408-FA20-4447-93F4-39F99FBEC343}"/>
    <cellStyle name="Porcentaje 8" xfId="210" xr:uid="{7F38323A-7A51-48C7-8976-CAB2E755A154}"/>
    <cellStyle name="Porcentaje 8 2" xfId="220" xr:uid="{AE7CFB45-4F51-4FF1-88B4-E73D9EC648D9}"/>
    <cellStyle name="Porcentaje 9" xfId="213" xr:uid="{01D93B7B-43CE-4906-9C81-785EE0D89B01}"/>
  </cellStyles>
  <dxfs count="0"/>
  <tableStyles count="0" defaultTableStyle="TableStyleMedium2" defaultPivotStyle="PivotStyleLight16"/>
  <colors>
    <mruColors>
      <color rgb="FFCC99FF"/>
      <color rgb="FFB1A1C7"/>
      <color rgb="FFDCB9FF"/>
      <color rgb="FFF2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40821</xdr:rowOff>
    </xdr:from>
    <xdr:to>
      <xdr:col>1</xdr:col>
      <xdr:colOff>1260023</xdr:colOff>
      <xdr:row>4</xdr:row>
      <xdr:rowOff>109345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33A47B-6CC3-4879-9B6F-829CAAD09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5" y="231321"/>
          <a:ext cx="1219201" cy="653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84ACE-EB5B-43B6-9CF1-2F63CA062DA8}">
  <sheetPr>
    <tabColor theme="6" tint="-0.499984740745262"/>
    <pageSetUpPr fitToPage="1"/>
  </sheetPr>
  <dimension ref="B1:S227"/>
  <sheetViews>
    <sheetView showGridLines="0" tabSelected="1" zoomScale="70" zoomScaleNormal="70" zoomScaleSheetLayoutView="85" workbookViewId="0">
      <selection activeCell="C7" sqref="C7:C8"/>
    </sheetView>
  </sheetViews>
  <sheetFormatPr baseColWidth="10" defaultColWidth="11.42578125" defaultRowHeight="15" x14ac:dyDescent="0.2"/>
  <cols>
    <col min="1" max="1" width="2.7109375" style="12" customWidth="1"/>
    <col min="2" max="2" width="67.7109375" style="12" bestFit="1" customWidth="1"/>
    <col min="3" max="3" width="10" style="12" customWidth="1"/>
    <col min="4" max="4" width="9.5703125" style="12" customWidth="1"/>
    <col min="5" max="5" width="12.28515625" style="12" customWidth="1"/>
    <col min="6" max="6" width="11.7109375" style="24" customWidth="1"/>
    <col min="7" max="8" width="14.7109375" style="12" customWidth="1"/>
    <col min="9" max="12" width="13.7109375" style="12" customWidth="1"/>
    <col min="13" max="13" width="14.7109375" style="24" customWidth="1"/>
    <col min="14" max="14" width="13.7109375" style="12" customWidth="1"/>
    <col min="15" max="15" width="16.7109375" style="12" customWidth="1"/>
    <col min="16" max="17" width="14.7109375" style="12" customWidth="1"/>
    <col min="18" max="18" width="16.28515625" style="12" customWidth="1"/>
    <col min="19" max="19" width="14.7109375" style="12" customWidth="1"/>
    <col min="20" max="16384" width="11.42578125" style="12"/>
  </cols>
  <sheetData>
    <row r="1" spans="2:19" ht="15" customHeight="1" thickBot="1" x14ac:dyDescent="0.25">
      <c r="B1" s="11"/>
      <c r="C1" s="11"/>
      <c r="D1" s="11"/>
      <c r="E1" s="10"/>
      <c r="F1" s="13"/>
      <c r="G1" s="14"/>
      <c r="H1" s="5"/>
      <c r="I1" s="1"/>
      <c r="J1" s="1"/>
      <c r="K1" s="1"/>
      <c r="L1" s="2"/>
      <c r="M1" s="13"/>
      <c r="N1" s="2"/>
      <c r="O1" s="2"/>
      <c r="P1" s="2"/>
      <c r="Q1" s="2"/>
      <c r="R1" s="2"/>
      <c r="S1" s="2"/>
    </row>
    <row r="2" spans="2:19" ht="15" customHeight="1" x14ac:dyDescent="0.2">
      <c r="B2" s="66" t="s">
        <v>81</v>
      </c>
      <c r="C2" s="67"/>
      <c r="D2" s="67"/>
      <c r="E2" s="67"/>
      <c r="F2" s="67"/>
      <c r="G2" s="67"/>
      <c r="H2" s="68"/>
      <c r="I2" s="1"/>
      <c r="J2" s="4"/>
      <c r="K2" s="4"/>
      <c r="L2" s="2"/>
      <c r="M2" s="5"/>
      <c r="N2" s="2"/>
      <c r="O2" s="2"/>
      <c r="P2" s="2"/>
      <c r="Q2" s="2"/>
      <c r="R2" s="2"/>
      <c r="S2" s="2"/>
    </row>
    <row r="3" spans="2:19" ht="15.75" customHeight="1" x14ac:dyDescent="0.2">
      <c r="B3" s="69"/>
      <c r="C3" s="70"/>
      <c r="D3" s="70"/>
      <c r="E3" s="70"/>
      <c r="F3" s="70"/>
      <c r="G3" s="70"/>
      <c r="H3" s="71"/>
      <c r="I3" s="1"/>
      <c r="J3" s="4"/>
      <c r="K3" s="4"/>
      <c r="L3" s="2"/>
      <c r="M3" s="5"/>
      <c r="N3" s="2"/>
      <c r="O3" s="2"/>
      <c r="P3" s="2"/>
      <c r="Q3" s="2"/>
      <c r="R3" s="2"/>
      <c r="S3" s="2"/>
    </row>
    <row r="4" spans="2:19" x14ac:dyDescent="0.2">
      <c r="B4" s="69" t="s">
        <v>105</v>
      </c>
      <c r="C4" s="70"/>
      <c r="D4" s="70"/>
      <c r="E4" s="70"/>
      <c r="F4" s="70"/>
      <c r="G4" s="70"/>
      <c r="H4" s="71"/>
      <c r="I4" s="3"/>
      <c r="J4" s="4"/>
      <c r="K4" s="4"/>
      <c r="L4" s="2"/>
      <c r="M4" s="5"/>
      <c r="N4" s="6"/>
      <c r="O4" s="6"/>
      <c r="P4" s="6"/>
      <c r="Q4" s="6"/>
      <c r="R4" s="2"/>
      <c r="S4" s="2"/>
    </row>
    <row r="5" spans="2:19" ht="15.75" customHeight="1" thickBot="1" x14ac:dyDescent="0.25">
      <c r="B5" s="72"/>
      <c r="C5" s="73"/>
      <c r="D5" s="73"/>
      <c r="E5" s="73"/>
      <c r="F5" s="73"/>
      <c r="G5" s="73"/>
      <c r="H5" s="74"/>
      <c r="I5" s="1"/>
      <c r="J5" s="3"/>
      <c r="K5" s="3"/>
      <c r="L5" s="2"/>
      <c r="M5" s="5"/>
      <c r="N5" s="4"/>
      <c r="O5" s="4"/>
      <c r="P5" s="4"/>
      <c r="Q5" s="4"/>
      <c r="R5" s="2"/>
      <c r="S5" s="2"/>
    </row>
    <row r="6" spans="2:19" ht="15" customHeight="1" thickBot="1" x14ac:dyDescent="0.25">
      <c r="B6" s="11"/>
      <c r="C6" s="11"/>
      <c r="D6" s="11"/>
      <c r="E6" s="2"/>
      <c r="F6" s="15"/>
      <c r="G6" s="2"/>
      <c r="H6" s="2"/>
      <c r="I6" s="2"/>
      <c r="J6" s="2"/>
      <c r="K6" s="2"/>
      <c r="L6" s="2"/>
      <c r="M6" s="16"/>
      <c r="N6" s="2"/>
      <c r="O6" s="2"/>
      <c r="P6" s="2"/>
      <c r="Q6" s="2"/>
      <c r="R6" s="2"/>
      <c r="S6" s="2"/>
    </row>
    <row r="7" spans="2:19" ht="15" customHeight="1" x14ac:dyDescent="0.3">
      <c r="B7" s="75" t="s">
        <v>0</v>
      </c>
      <c r="C7" s="81" t="s">
        <v>106</v>
      </c>
      <c r="D7" s="81" t="s">
        <v>82</v>
      </c>
      <c r="E7" s="77" t="s">
        <v>8</v>
      </c>
      <c r="F7" s="79" t="s">
        <v>94</v>
      </c>
      <c r="G7" s="49">
        <v>1131</v>
      </c>
      <c r="H7" s="49">
        <v>1321</v>
      </c>
      <c r="I7" s="49">
        <v>1322</v>
      </c>
      <c r="J7" s="49">
        <v>1322</v>
      </c>
      <c r="K7" s="49">
        <v>1345</v>
      </c>
      <c r="L7" s="49">
        <v>1411</v>
      </c>
      <c r="M7" s="49">
        <v>1421</v>
      </c>
      <c r="N7" s="49">
        <v>1431</v>
      </c>
      <c r="O7" s="49">
        <v>1432</v>
      </c>
      <c r="P7" s="49">
        <v>1712</v>
      </c>
      <c r="Q7" s="49">
        <v>1713</v>
      </c>
      <c r="R7" s="49">
        <v>1715</v>
      </c>
      <c r="S7" s="63" t="s">
        <v>83</v>
      </c>
    </row>
    <row r="8" spans="2:19" ht="94.5" customHeight="1" thickBot="1" x14ac:dyDescent="0.25">
      <c r="B8" s="76"/>
      <c r="C8" s="82"/>
      <c r="D8" s="82"/>
      <c r="E8" s="78"/>
      <c r="F8" s="80"/>
      <c r="G8" s="50" t="s">
        <v>104</v>
      </c>
      <c r="H8" s="50" t="s">
        <v>84</v>
      </c>
      <c r="I8" s="50" t="s">
        <v>85</v>
      </c>
      <c r="J8" s="50" t="s">
        <v>86</v>
      </c>
      <c r="K8" s="50" t="s">
        <v>100</v>
      </c>
      <c r="L8" s="50" t="s">
        <v>87</v>
      </c>
      <c r="M8" s="51" t="s">
        <v>88</v>
      </c>
      <c r="N8" s="50" t="s">
        <v>89</v>
      </c>
      <c r="O8" s="50" t="s">
        <v>90</v>
      </c>
      <c r="P8" s="50" t="s">
        <v>91</v>
      </c>
      <c r="Q8" s="50" t="s">
        <v>92</v>
      </c>
      <c r="R8" s="50" t="s">
        <v>93</v>
      </c>
      <c r="S8" s="64"/>
    </row>
    <row r="9" spans="2:19" ht="15" customHeight="1" x14ac:dyDescent="0.2">
      <c r="B9" s="17" t="s">
        <v>4</v>
      </c>
      <c r="C9" s="48">
        <v>11</v>
      </c>
      <c r="D9" s="48">
        <v>12</v>
      </c>
      <c r="E9" s="18">
        <v>1</v>
      </c>
      <c r="F9" s="19">
        <v>144632.12400000004</v>
      </c>
      <c r="G9" s="19">
        <f>1736537.01513158*E9</f>
        <v>1736537.0151315799</v>
      </c>
      <c r="H9" s="19">
        <f>23788.1782894737*E9</f>
        <v>23788.178289473701</v>
      </c>
      <c r="I9" s="19">
        <f>237881.782894737*E9</f>
        <v>237881.782894737</v>
      </c>
      <c r="J9" s="19">
        <f>79821.6581842103*E9</f>
        <v>79821.658184210304</v>
      </c>
      <c r="K9" s="56"/>
      <c r="L9" s="19">
        <f>49697.94375*E9</f>
        <v>49697.943749999999</v>
      </c>
      <c r="M9" s="19">
        <f>52096.1104539474*E9</f>
        <v>52096.110453947404</v>
      </c>
      <c r="N9" s="19">
        <f>303893.977648026*E9</f>
        <v>303893.97764802602</v>
      </c>
      <c r="O9" s="19">
        <f>34730.7403026316*E9</f>
        <v>34730.740302631602</v>
      </c>
      <c r="P9" s="19">
        <f>10000*E9</f>
        <v>10000</v>
      </c>
      <c r="Q9" s="19">
        <f>7200*E9</f>
        <v>7200</v>
      </c>
      <c r="R9" s="19">
        <v>0</v>
      </c>
      <c r="S9" s="20">
        <f t="shared" ref="S9:S31" si="0">SUM(G9:R9)</f>
        <v>2535647.4066546061</v>
      </c>
    </row>
    <row r="10" spans="2:19" ht="13.5" customHeight="1" x14ac:dyDescent="0.2">
      <c r="B10" s="17" t="s">
        <v>1</v>
      </c>
      <c r="C10" s="48">
        <v>11</v>
      </c>
      <c r="D10" s="48">
        <v>12</v>
      </c>
      <c r="E10" s="18">
        <v>6</v>
      </c>
      <c r="F10" s="19">
        <v>144632.12400000001</v>
      </c>
      <c r="G10" s="19">
        <f>1736537.01513158*E10</f>
        <v>10419222.09078948</v>
      </c>
      <c r="H10" s="19">
        <f>23788.1782894737*E10</f>
        <v>142729.06973684221</v>
      </c>
      <c r="I10" s="19">
        <f>237881.782894737*E10</f>
        <v>1427290.6973684221</v>
      </c>
      <c r="J10" s="19">
        <f>79821.6581842103*E10</f>
        <v>478929.94910526183</v>
      </c>
      <c r="K10" s="19"/>
      <c r="L10" s="19">
        <f>49697.94375*E10</f>
        <v>298187.66249999998</v>
      </c>
      <c r="M10" s="19">
        <f>52096.1104539474*E10</f>
        <v>312576.66272368445</v>
      </c>
      <c r="N10" s="19">
        <f>303893.977648026*E10</f>
        <v>1823363.865888156</v>
      </c>
      <c r="O10" s="19">
        <f>34730.7403026316*E10</f>
        <v>208384.44181578961</v>
      </c>
      <c r="P10" s="19">
        <f>10000*E10</f>
        <v>60000</v>
      </c>
      <c r="Q10" s="19">
        <f>7200*E10</f>
        <v>43200</v>
      </c>
      <c r="R10" s="19">
        <v>0</v>
      </c>
      <c r="S10" s="20">
        <f t="shared" si="0"/>
        <v>15213884.439927638</v>
      </c>
    </row>
    <row r="11" spans="2:19" ht="13.5" customHeight="1" x14ac:dyDescent="0.2">
      <c r="B11" s="23" t="s">
        <v>6</v>
      </c>
      <c r="C11" s="48">
        <v>10</v>
      </c>
      <c r="D11" s="48">
        <v>12</v>
      </c>
      <c r="E11" s="18">
        <v>1</v>
      </c>
      <c r="F11" s="19">
        <v>88078.535999999993</v>
      </c>
      <c r="G11" s="19">
        <v>1057521.8960526315</v>
      </c>
      <c r="H11" s="19">
        <v>14486.601315789474</v>
      </c>
      <c r="I11" s="19">
        <v>144866.01315789475</v>
      </c>
      <c r="J11" s="19">
        <v>48196.296473684262</v>
      </c>
      <c r="K11" s="19">
        <f t="shared" ref="K11:K31" si="1">E11*F11*7.00657894736842*33.33%</f>
        <v>205689.16771034207</v>
      </c>
      <c r="L11" s="19">
        <v>49697.943749999999</v>
      </c>
      <c r="M11" s="19">
        <v>31725.656881578947</v>
      </c>
      <c r="N11" s="19">
        <v>185066.3318092105</v>
      </c>
      <c r="O11" s="19">
        <v>21150.437921052631</v>
      </c>
      <c r="P11" s="19">
        <v>10000</v>
      </c>
      <c r="Q11" s="19">
        <v>7200</v>
      </c>
      <c r="R11" s="19">
        <v>44039.267999999996</v>
      </c>
      <c r="S11" s="20">
        <f t="shared" si="0"/>
        <v>1819639.6130721841</v>
      </c>
    </row>
    <row r="12" spans="2:19" ht="15" customHeight="1" x14ac:dyDescent="0.2">
      <c r="B12" s="23" t="s">
        <v>80</v>
      </c>
      <c r="C12" s="48">
        <v>9</v>
      </c>
      <c r="D12" s="48">
        <v>12</v>
      </c>
      <c r="E12" s="18">
        <v>1</v>
      </c>
      <c r="F12" s="19">
        <v>65520</v>
      </c>
      <c r="G12" s="19">
        <f t="shared" ref="G12:G17" si="2">786671.052631579*E12</f>
        <v>786671.05263157899</v>
      </c>
      <c r="H12" s="19">
        <f t="shared" ref="H12:H17" si="3">10776.3157894737*E12</f>
        <v>10776.3157894737</v>
      </c>
      <c r="I12" s="19">
        <f t="shared" ref="I12:I17" si="4">107763.157894737*E12</f>
        <v>107763.157894737</v>
      </c>
      <c r="J12" s="19">
        <f t="shared" ref="J12:J17" si="5">35581.3256842105*E12</f>
        <v>35581.325684210497</v>
      </c>
      <c r="K12" s="26">
        <f t="shared" si="1"/>
        <v>153008.38184210524</v>
      </c>
      <c r="L12" s="19">
        <f t="shared" ref="L12:L17" si="6">47524.1749638158*E12</f>
        <v>47524.1749638158</v>
      </c>
      <c r="M12" s="19">
        <f t="shared" ref="M12:M17" si="7">23600.1315789474*E12</f>
        <v>23600.131578947399</v>
      </c>
      <c r="N12" s="19">
        <f t="shared" ref="N12:N17" si="8">137667.434210526*E12</f>
        <v>137667.434210526</v>
      </c>
      <c r="O12" s="19">
        <f t="shared" ref="O12:O17" si="9">15733.4210526316*E12</f>
        <v>15733.4210526316</v>
      </c>
      <c r="P12" s="19">
        <f t="shared" ref="P12:P31" si="10">10000*E12</f>
        <v>10000</v>
      </c>
      <c r="Q12" s="19">
        <f t="shared" ref="Q12:Q31" si="11">7200*E12</f>
        <v>7200</v>
      </c>
      <c r="R12" s="19">
        <f t="shared" ref="R12:R17" si="12">32760*E12</f>
        <v>32760</v>
      </c>
      <c r="S12" s="20">
        <f t="shared" si="0"/>
        <v>1368285.3956480264</v>
      </c>
    </row>
    <row r="13" spans="2:19" ht="15" customHeight="1" x14ac:dyDescent="0.2">
      <c r="B13" s="23" t="s">
        <v>28</v>
      </c>
      <c r="C13" s="48">
        <v>9</v>
      </c>
      <c r="D13" s="48">
        <v>12</v>
      </c>
      <c r="E13" s="18">
        <v>1</v>
      </c>
      <c r="F13" s="19">
        <v>65519.999999999993</v>
      </c>
      <c r="G13" s="19">
        <f t="shared" si="2"/>
        <v>786671.05263157899</v>
      </c>
      <c r="H13" s="19">
        <f t="shared" si="3"/>
        <v>10776.3157894737</v>
      </c>
      <c r="I13" s="19">
        <f t="shared" si="4"/>
        <v>107763.157894737</v>
      </c>
      <c r="J13" s="19">
        <f t="shared" si="5"/>
        <v>35581.325684210497</v>
      </c>
      <c r="K13" s="19">
        <f t="shared" si="1"/>
        <v>153008.38184210524</v>
      </c>
      <c r="L13" s="19">
        <f t="shared" si="6"/>
        <v>47524.1749638158</v>
      </c>
      <c r="M13" s="19">
        <f t="shared" si="7"/>
        <v>23600.131578947399</v>
      </c>
      <c r="N13" s="19">
        <f t="shared" si="8"/>
        <v>137667.434210526</v>
      </c>
      <c r="O13" s="19">
        <f t="shared" si="9"/>
        <v>15733.4210526316</v>
      </c>
      <c r="P13" s="19">
        <f t="shared" si="10"/>
        <v>10000</v>
      </c>
      <c r="Q13" s="19">
        <f t="shared" si="11"/>
        <v>7200</v>
      </c>
      <c r="R13" s="19">
        <f t="shared" si="12"/>
        <v>32760</v>
      </c>
      <c r="S13" s="20">
        <f t="shared" si="0"/>
        <v>1368285.3956480264</v>
      </c>
    </row>
    <row r="14" spans="2:19" x14ac:dyDescent="0.2">
      <c r="B14" s="23" t="s">
        <v>36</v>
      </c>
      <c r="C14" s="48">
        <v>9</v>
      </c>
      <c r="D14" s="48">
        <v>12</v>
      </c>
      <c r="E14" s="18">
        <v>1</v>
      </c>
      <c r="F14" s="19">
        <v>65519.999999999993</v>
      </c>
      <c r="G14" s="19">
        <f t="shared" si="2"/>
        <v>786671.05263157899</v>
      </c>
      <c r="H14" s="19">
        <f t="shared" si="3"/>
        <v>10776.3157894737</v>
      </c>
      <c r="I14" s="19">
        <f t="shared" si="4"/>
        <v>107763.157894737</v>
      </c>
      <c r="J14" s="19">
        <f t="shared" si="5"/>
        <v>35581.325684210497</v>
      </c>
      <c r="K14" s="19">
        <f t="shared" si="1"/>
        <v>153008.38184210524</v>
      </c>
      <c r="L14" s="19">
        <f t="shared" si="6"/>
        <v>47524.1749638158</v>
      </c>
      <c r="M14" s="19">
        <f t="shared" si="7"/>
        <v>23600.131578947399</v>
      </c>
      <c r="N14" s="19">
        <f t="shared" si="8"/>
        <v>137667.434210526</v>
      </c>
      <c r="O14" s="19">
        <f t="shared" si="9"/>
        <v>15733.4210526316</v>
      </c>
      <c r="P14" s="19">
        <f t="shared" si="10"/>
        <v>10000</v>
      </c>
      <c r="Q14" s="19">
        <f t="shared" si="11"/>
        <v>7200</v>
      </c>
      <c r="R14" s="19">
        <f t="shared" si="12"/>
        <v>32760</v>
      </c>
      <c r="S14" s="20">
        <f t="shared" si="0"/>
        <v>1368285.3956480264</v>
      </c>
    </row>
    <row r="15" spans="2:19" ht="15" customHeight="1" x14ac:dyDescent="0.2">
      <c r="B15" s="23" t="s">
        <v>7</v>
      </c>
      <c r="C15" s="48">
        <v>9</v>
      </c>
      <c r="D15" s="48">
        <v>12</v>
      </c>
      <c r="E15" s="18">
        <v>1</v>
      </c>
      <c r="F15" s="19">
        <v>65519.999999999993</v>
      </c>
      <c r="G15" s="19">
        <f t="shared" si="2"/>
        <v>786671.05263157899</v>
      </c>
      <c r="H15" s="19">
        <f t="shared" si="3"/>
        <v>10776.3157894737</v>
      </c>
      <c r="I15" s="19">
        <f t="shared" si="4"/>
        <v>107763.157894737</v>
      </c>
      <c r="J15" s="19">
        <f t="shared" si="5"/>
        <v>35581.325684210497</v>
      </c>
      <c r="K15" s="19">
        <f t="shared" si="1"/>
        <v>153008.38184210524</v>
      </c>
      <c r="L15" s="19">
        <f t="shared" si="6"/>
        <v>47524.1749638158</v>
      </c>
      <c r="M15" s="19">
        <f t="shared" si="7"/>
        <v>23600.131578947399</v>
      </c>
      <c r="N15" s="19">
        <f t="shared" si="8"/>
        <v>137667.434210526</v>
      </c>
      <c r="O15" s="19">
        <f t="shared" si="9"/>
        <v>15733.4210526316</v>
      </c>
      <c r="P15" s="19">
        <f t="shared" si="10"/>
        <v>10000</v>
      </c>
      <c r="Q15" s="19">
        <f t="shared" si="11"/>
        <v>7200</v>
      </c>
      <c r="R15" s="19">
        <f t="shared" si="12"/>
        <v>32760</v>
      </c>
      <c r="S15" s="20">
        <f t="shared" si="0"/>
        <v>1368285.3956480264</v>
      </c>
    </row>
    <row r="16" spans="2:19" x14ac:dyDescent="0.2">
      <c r="B16" s="23" t="s">
        <v>79</v>
      </c>
      <c r="C16" s="48">
        <v>9</v>
      </c>
      <c r="D16" s="48">
        <v>12</v>
      </c>
      <c r="E16" s="18">
        <v>1</v>
      </c>
      <c r="F16" s="19">
        <v>65519.999999999993</v>
      </c>
      <c r="G16" s="19">
        <f t="shared" si="2"/>
        <v>786671.05263157899</v>
      </c>
      <c r="H16" s="19">
        <f t="shared" si="3"/>
        <v>10776.3157894737</v>
      </c>
      <c r="I16" s="19">
        <f t="shared" si="4"/>
        <v>107763.157894737</v>
      </c>
      <c r="J16" s="19">
        <f t="shared" si="5"/>
        <v>35581.325684210497</v>
      </c>
      <c r="K16" s="19">
        <f t="shared" si="1"/>
        <v>153008.38184210524</v>
      </c>
      <c r="L16" s="19">
        <f t="shared" si="6"/>
        <v>47524.1749638158</v>
      </c>
      <c r="M16" s="19">
        <f t="shared" si="7"/>
        <v>23600.131578947399</v>
      </c>
      <c r="N16" s="19">
        <f t="shared" si="8"/>
        <v>137667.434210526</v>
      </c>
      <c r="O16" s="19">
        <f t="shared" si="9"/>
        <v>15733.4210526316</v>
      </c>
      <c r="P16" s="19">
        <f t="shared" si="10"/>
        <v>10000</v>
      </c>
      <c r="Q16" s="19">
        <f t="shared" si="11"/>
        <v>7200</v>
      </c>
      <c r="R16" s="19">
        <f t="shared" si="12"/>
        <v>32760</v>
      </c>
      <c r="S16" s="20">
        <f t="shared" si="0"/>
        <v>1368285.3956480264</v>
      </c>
    </row>
    <row r="17" spans="2:19" ht="15" customHeight="1" x14ac:dyDescent="0.2">
      <c r="B17" s="23" t="s">
        <v>78</v>
      </c>
      <c r="C17" s="48">
        <v>9</v>
      </c>
      <c r="D17" s="48">
        <v>12</v>
      </c>
      <c r="E17" s="18">
        <v>1</v>
      </c>
      <c r="F17" s="19">
        <v>65519.999999999993</v>
      </c>
      <c r="G17" s="19">
        <f t="shared" si="2"/>
        <v>786671.05263157899</v>
      </c>
      <c r="H17" s="19">
        <f t="shared" si="3"/>
        <v>10776.3157894737</v>
      </c>
      <c r="I17" s="19">
        <f t="shared" si="4"/>
        <v>107763.157894737</v>
      </c>
      <c r="J17" s="19">
        <f t="shared" si="5"/>
        <v>35581.325684210497</v>
      </c>
      <c r="K17" s="19">
        <f t="shared" si="1"/>
        <v>153008.38184210524</v>
      </c>
      <c r="L17" s="19">
        <f t="shared" si="6"/>
        <v>47524.1749638158</v>
      </c>
      <c r="M17" s="19">
        <f t="shared" si="7"/>
        <v>23600.131578947399</v>
      </c>
      <c r="N17" s="19">
        <f t="shared" si="8"/>
        <v>137667.434210526</v>
      </c>
      <c r="O17" s="19">
        <f t="shared" si="9"/>
        <v>15733.4210526316</v>
      </c>
      <c r="P17" s="19">
        <f t="shared" si="10"/>
        <v>10000</v>
      </c>
      <c r="Q17" s="19">
        <f t="shared" si="11"/>
        <v>7200</v>
      </c>
      <c r="R17" s="19">
        <f t="shared" si="12"/>
        <v>32760</v>
      </c>
      <c r="S17" s="20">
        <f t="shared" si="0"/>
        <v>1368285.3956480264</v>
      </c>
    </row>
    <row r="18" spans="2:19" x14ac:dyDescent="0.2">
      <c r="B18" s="17" t="s">
        <v>5</v>
      </c>
      <c r="C18" s="48">
        <v>8</v>
      </c>
      <c r="D18" s="48">
        <v>12</v>
      </c>
      <c r="E18" s="18">
        <v>2</v>
      </c>
      <c r="F18" s="19">
        <v>60744.574800000002</v>
      </c>
      <c r="G18" s="19">
        <f>729334.532960526*E18</f>
        <v>1458669.0659210519</v>
      </c>
      <c r="H18" s="19">
        <f>9990.88401315789*E18</f>
        <v>19981.768026315782</v>
      </c>
      <c r="I18" s="19">
        <f>99908.840131579*E18</f>
        <v>199817.68026315799</v>
      </c>
      <c r="J18" s="19">
        <f>32649.2018236842*E18</f>
        <v>65298.403647368403</v>
      </c>
      <c r="K18" s="19">
        <f t="shared" si="1"/>
        <v>283712.73186308681</v>
      </c>
      <c r="L18" s="19">
        <f>44060.3754715781*E18</f>
        <v>88120.750943156207</v>
      </c>
      <c r="M18" s="19">
        <f>21880.0359888158*E18</f>
        <v>43760.071977631596</v>
      </c>
      <c r="N18" s="19">
        <f>127633.543268092*E18</f>
        <v>255267.08653618401</v>
      </c>
      <c r="O18" s="19">
        <f>14586.6906592105*E18</f>
        <v>29173.381318421001</v>
      </c>
      <c r="P18" s="19">
        <f t="shared" si="10"/>
        <v>20000</v>
      </c>
      <c r="Q18" s="19">
        <f t="shared" si="11"/>
        <v>14400</v>
      </c>
      <c r="R18" s="19">
        <f>30372.2874*E18</f>
        <v>60744.574800000002</v>
      </c>
      <c r="S18" s="20">
        <f t="shared" si="0"/>
        <v>2538945.515296374</v>
      </c>
    </row>
    <row r="19" spans="2:19" ht="14.25" customHeight="1" x14ac:dyDescent="0.2">
      <c r="B19" s="23" t="s">
        <v>13</v>
      </c>
      <c r="C19" s="48">
        <v>8</v>
      </c>
      <c r="D19" s="48">
        <v>12</v>
      </c>
      <c r="E19" s="18">
        <v>1</v>
      </c>
      <c r="F19" s="19">
        <v>60744.574800000002</v>
      </c>
      <c r="G19" s="19">
        <f>729334.532960526*E19</f>
        <v>729334.53296052595</v>
      </c>
      <c r="H19" s="19">
        <f>9990.88401315789*E19</f>
        <v>9990.8840131578909</v>
      </c>
      <c r="I19" s="19">
        <f>99908.840131579*E19</f>
        <v>99908.840131578996</v>
      </c>
      <c r="J19" s="19">
        <f>32649.2018236842*E19</f>
        <v>32649.201823684201</v>
      </c>
      <c r="K19" s="19">
        <f t="shared" si="1"/>
        <v>141856.36593154341</v>
      </c>
      <c r="L19" s="19">
        <f>44060.3754715781*E19</f>
        <v>44060.375471578103</v>
      </c>
      <c r="M19" s="19">
        <f>21880.0359888158*E19</f>
        <v>21880.035988815798</v>
      </c>
      <c r="N19" s="19">
        <f>127633.543268092*E19</f>
        <v>127633.54326809201</v>
      </c>
      <c r="O19" s="19">
        <f>14586.6906592105*E19</f>
        <v>14586.690659210501</v>
      </c>
      <c r="P19" s="19">
        <f t="shared" si="10"/>
        <v>10000</v>
      </c>
      <c r="Q19" s="19">
        <f t="shared" si="11"/>
        <v>7200</v>
      </c>
      <c r="R19" s="19">
        <f>30372.2874*E19</f>
        <v>30372.287400000001</v>
      </c>
      <c r="S19" s="20">
        <f t="shared" si="0"/>
        <v>1269472.757648187</v>
      </c>
    </row>
    <row r="20" spans="2:19" x14ac:dyDescent="0.2">
      <c r="B20" s="23" t="s">
        <v>37</v>
      </c>
      <c r="C20" s="48">
        <v>8</v>
      </c>
      <c r="D20" s="48">
        <v>12</v>
      </c>
      <c r="E20" s="18">
        <v>1</v>
      </c>
      <c r="F20" s="19">
        <v>60744.574800000002</v>
      </c>
      <c r="G20" s="19">
        <f>729334.532960526*E20</f>
        <v>729334.53296052595</v>
      </c>
      <c r="H20" s="19">
        <f>9990.88401315789*E20</f>
        <v>9990.8840131578909</v>
      </c>
      <c r="I20" s="19">
        <f>99908.840131579*E20</f>
        <v>99908.840131578996</v>
      </c>
      <c r="J20" s="19">
        <f>32649.2018236842*E20</f>
        <v>32649.201823684201</v>
      </c>
      <c r="K20" s="19">
        <f t="shared" si="1"/>
        <v>141856.36593154341</v>
      </c>
      <c r="L20" s="19">
        <f>44060.3754715781*E20</f>
        <v>44060.375471578103</v>
      </c>
      <c r="M20" s="19">
        <f>21880.0359888158*E20</f>
        <v>21880.035988815798</v>
      </c>
      <c r="N20" s="19">
        <f>127633.543268092*E20</f>
        <v>127633.54326809201</v>
      </c>
      <c r="O20" s="19">
        <f>14586.6906592105*E20</f>
        <v>14586.690659210501</v>
      </c>
      <c r="P20" s="19">
        <f t="shared" si="10"/>
        <v>10000</v>
      </c>
      <c r="Q20" s="19">
        <f t="shared" si="11"/>
        <v>7200</v>
      </c>
      <c r="R20" s="19">
        <f>30372.2874*E20</f>
        <v>30372.287400000001</v>
      </c>
      <c r="S20" s="20">
        <f t="shared" si="0"/>
        <v>1269472.757648187</v>
      </c>
    </row>
    <row r="21" spans="2:19" ht="15" customHeight="1" x14ac:dyDescent="0.2">
      <c r="B21" s="23" t="s">
        <v>9</v>
      </c>
      <c r="C21" s="48">
        <v>7</v>
      </c>
      <c r="D21" s="48">
        <v>12</v>
      </c>
      <c r="E21" s="18">
        <v>1</v>
      </c>
      <c r="F21" s="19">
        <v>54670.215599999996</v>
      </c>
      <c r="G21" s="19">
        <f t="shared" ref="G21:G29" si="13">656402.259671053*E21</f>
        <v>656402.25967105303</v>
      </c>
      <c r="H21" s="19">
        <f t="shared" ref="H21:H29" si="14">8991.81177631579*E21</f>
        <v>8991.8117763157898</v>
      </c>
      <c r="I21" s="19">
        <f t="shared" ref="I21:I29" si="15">89918.1177631579*E21</f>
        <v>89918.117763157905</v>
      </c>
      <c r="J21" s="19">
        <f t="shared" ref="J21:J29" si="16">27793.7107526316*E21</f>
        <v>27793.710752631599</v>
      </c>
      <c r="K21" s="19">
        <f t="shared" si="1"/>
        <v>127670.95885096182</v>
      </c>
      <c r="L21" s="19">
        <f t="shared" ref="L21:L29" si="17">39654.4092106827*E21</f>
        <v>39654.409210682701</v>
      </c>
      <c r="M21" s="19">
        <f t="shared" ref="M21:M29" si="18">19692.0677901316*E21</f>
        <v>19692.067790131601</v>
      </c>
      <c r="N21" s="19">
        <f t="shared" ref="N21:N29" si="19">114870.395442434*E21</f>
        <v>114870.395442434</v>
      </c>
      <c r="O21" s="19">
        <f t="shared" ref="O21:O29" si="20">13128.0451934211*E21</f>
        <v>13128.0451934211</v>
      </c>
      <c r="P21" s="19">
        <f t="shared" si="10"/>
        <v>10000</v>
      </c>
      <c r="Q21" s="19">
        <f t="shared" si="11"/>
        <v>7200</v>
      </c>
      <c r="R21" s="19">
        <f t="shared" ref="R21:R29" si="21">27335.1078*E21</f>
        <v>27335.107800000002</v>
      </c>
      <c r="S21" s="20">
        <f t="shared" si="0"/>
        <v>1142656.8842507899</v>
      </c>
    </row>
    <row r="22" spans="2:19" x14ac:dyDescent="0.2">
      <c r="B22" s="23" t="s">
        <v>14</v>
      </c>
      <c r="C22" s="48">
        <v>7</v>
      </c>
      <c r="D22" s="48">
        <v>12</v>
      </c>
      <c r="E22" s="18">
        <v>1</v>
      </c>
      <c r="F22" s="19">
        <v>54670.215599999996</v>
      </c>
      <c r="G22" s="19">
        <f t="shared" si="13"/>
        <v>656402.25967105303</v>
      </c>
      <c r="H22" s="19">
        <f t="shared" si="14"/>
        <v>8991.8117763157898</v>
      </c>
      <c r="I22" s="19">
        <f t="shared" si="15"/>
        <v>89918.117763157905</v>
      </c>
      <c r="J22" s="19">
        <f t="shared" si="16"/>
        <v>27793.710752631599</v>
      </c>
      <c r="K22" s="19">
        <f t="shared" si="1"/>
        <v>127670.95885096182</v>
      </c>
      <c r="L22" s="19">
        <f t="shared" si="17"/>
        <v>39654.409210682701</v>
      </c>
      <c r="M22" s="19">
        <f t="shared" si="18"/>
        <v>19692.067790131601</v>
      </c>
      <c r="N22" s="19">
        <f t="shared" si="19"/>
        <v>114870.395442434</v>
      </c>
      <c r="O22" s="19">
        <f t="shared" si="20"/>
        <v>13128.0451934211</v>
      </c>
      <c r="P22" s="19">
        <f t="shared" si="10"/>
        <v>10000</v>
      </c>
      <c r="Q22" s="19">
        <f t="shared" si="11"/>
        <v>7200</v>
      </c>
      <c r="R22" s="19">
        <f t="shared" si="21"/>
        <v>27335.107800000002</v>
      </c>
      <c r="S22" s="20">
        <f t="shared" si="0"/>
        <v>1142656.8842507899</v>
      </c>
    </row>
    <row r="23" spans="2:19" ht="15" customHeight="1" x14ac:dyDescent="0.2">
      <c r="B23" s="23" t="s">
        <v>29</v>
      </c>
      <c r="C23" s="48">
        <v>7</v>
      </c>
      <c r="D23" s="48">
        <v>12</v>
      </c>
      <c r="E23" s="18">
        <v>1</v>
      </c>
      <c r="F23" s="19">
        <v>54670.215599999996</v>
      </c>
      <c r="G23" s="19">
        <f t="shared" si="13"/>
        <v>656402.25967105303</v>
      </c>
      <c r="H23" s="19">
        <f t="shared" si="14"/>
        <v>8991.8117763157898</v>
      </c>
      <c r="I23" s="19">
        <f t="shared" si="15"/>
        <v>89918.117763157905</v>
      </c>
      <c r="J23" s="19">
        <f t="shared" si="16"/>
        <v>27793.710752631599</v>
      </c>
      <c r="K23" s="19">
        <f t="shared" si="1"/>
        <v>127670.95885096182</v>
      </c>
      <c r="L23" s="19">
        <f t="shared" si="17"/>
        <v>39654.409210682701</v>
      </c>
      <c r="M23" s="19">
        <f t="shared" si="18"/>
        <v>19692.067790131601</v>
      </c>
      <c r="N23" s="19">
        <f t="shared" si="19"/>
        <v>114870.395442434</v>
      </c>
      <c r="O23" s="19">
        <f t="shared" si="20"/>
        <v>13128.0451934211</v>
      </c>
      <c r="P23" s="19">
        <f t="shared" si="10"/>
        <v>10000</v>
      </c>
      <c r="Q23" s="19">
        <f t="shared" si="11"/>
        <v>7200</v>
      </c>
      <c r="R23" s="19">
        <f t="shared" si="21"/>
        <v>27335.107800000002</v>
      </c>
      <c r="S23" s="20">
        <f t="shared" si="0"/>
        <v>1142656.8842507899</v>
      </c>
    </row>
    <row r="24" spans="2:19" x14ac:dyDescent="0.2">
      <c r="B24" s="23" t="s">
        <v>30</v>
      </c>
      <c r="C24" s="48">
        <v>7</v>
      </c>
      <c r="D24" s="48">
        <v>12</v>
      </c>
      <c r="E24" s="18">
        <v>1</v>
      </c>
      <c r="F24" s="19">
        <v>54670.215599999996</v>
      </c>
      <c r="G24" s="19">
        <f t="shared" si="13"/>
        <v>656402.25967105303</v>
      </c>
      <c r="H24" s="19">
        <f t="shared" si="14"/>
        <v>8991.8117763157898</v>
      </c>
      <c r="I24" s="19">
        <f t="shared" si="15"/>
        <v>89918.117763157905</v>
      </c>
      <c r="J24" s="19">
        <f t="shared" si="16"/>
        <v>27793.710752631599</v>
      </c>
      <c r="K24" s="19">
        <f t="shared" si="1"/>
        <v>127670.95885096182</v>
      </c>
      <c r="L24" s="19">
        <f t="shared" si="17"/>
        <v>39654.409210682701</v>
      </c>
      <c r="M24" s="19">
        <f t="shared" si="18"/>
        <v>19692.067790131601</v>
      </c>
      <c r="N24" s="19">
        <f t="shared" si="19"/>
        <v>114870.395442434</v>
      </c>
      <c r="O24" s="19">
        <f t="shared" si="20"/>
        <v>13128.0451934211</v>
      </c>
      <c r="P24" s="19">
        <f t="shared" si="10"/>
        <v>10000</v>
      </c>
      <c r="Q24" s="19">
        <f t="shared" si="11"/>
        <v>7200</v>
      </c>
      <c r="R24" s="19">
        <f t="shared" si="21"/>
        <v>27335.107800000002</v>
      </c>
      <c r="S24" s="20">
        <f t="shared" si="0"/>
        <v>1142656.8842507899</v>
      </c>
    </row>
    <row r="25" spans="2:19" ht="15" customHeight="1" x14ac:dyDescent="0.2">
      <c r="B25" s="23" t="s">
        <v>31</v>
      </c>
      <c r="C25" s="48">
        <v>7</v>
      </c>
      <c r="D25" s="48">
        <v>12</v>
      </c>
      <c r="E25" s="18">
        <v>1</v>
      </c>
      <c r="F25" s="19">
        <v>54670.215599999996</v>
      </c>
      <c r="G25" s="19">
        <f t="shared" si="13"/>
        <v>656402.25967105303</v>
      </c>
      <c r="H25" s="19">
        <f t="shared" si="14"/>
        <v>8991.8117763157898</v>
      </c>
      <c r="I25" s="19">
        <f t="shared" si="15"/>
        <v>89918.117763157905</v>
      </c>
      <c r="J25" s="19">
        <f t="shared" si="16"/>
        <v>27793.710752631599</v>
      </c>
      <c r="K25" s="19">
        <f t="shared" si="1"/>
        <v>127670.95885096182</v>
      </c>
      <c r="L25" s="19">
        <f t="shared" si="17"/>
        <v>39654.409210682701</v>
      </c>
      <c r="M25" s="19">
        <f t="shared" si="18"/>
        <v>19692.067790131601</v>
      </c>
      <c r="N25" s="19">
        <f t="shared" si="19"/>
        <v>114870.395442434</v>
      </c>
      <c r="O25" s="19">
        <f t="shared" si="20"/>
        <v>13128.0451934211</v>
      </c>
      <c r="P25" s="19">
        <f t="shared" si="10"/>
        <v>10000</v>
      </c>
      <c r="Q25" s="19">
        <f t="shared" si="11"/>
        <v>7200</v>
      </c>
      <c r="R25" s="19">
        <f t="shared" si="21"/>
        <v>27335.107800000002</v>
      </c>
      <c r="S25" s="20">
        <f t="shared" si="0"/>
        <v>1142656.8842507899</v>
      </c>
    </row>
    <row r="26" spans="2:19" x14ac:dyDescent="0.2">
      <c r="B26" s="23" t="s">
        <v>38</v>
      </c>
      <c r="C26" s="48">
        <v>7</v>
      </c>
      <c r="D26" s="48">
        <v>12</v>
      </c>
      <c r="E26" s="18">
        <v>1</v>
      </c>
      <c r="F26" s="19">
        <v>54670.215599999996</v>
      </c>
      <c r="G26" s="19">
        <f t="shared" si="13"/>
        <v>656402.25967105303</v>
      </c>
      <c r="H26" s="19">
        <f t="shared" si="14"/>
        <v>8991.8117763157898</v>
      </c>
      <c r="I26" s="19">
        <f t="shared" si="15"/>
        <v>89918.117763157905</v>
      </c>
      <c r="J26" s="19">
        <f t="shared" si="16"/>
        <v>27793.710752631599</v>
      </c>
      <c r="K26" s="19">
        <f t="shared" si="1"/>
        <v>127670.95885096182</v>
      </c>
      <c r="L26" s="19">
        <f t="shared" si="17"/>
        <v>39654.409210682701</v>
      </c>
      <c r="M26" s="19">
        <f t="shared" si="18"/>
        <v>19692.067790131601</v>
      </c>
      <c r="N26" s="19">
        <f t="shared" si="19"/>
        <v>114870.395442434</v>
      </c>
      <c r="O26" s="19">
        <f t="shared" si="20"/>
        <v>13128.0451934211</v>
      </c>
      <c r="P26" s="19">
        <f t="shared" si="10"/>
        <v>10000</v>
      </c>
      <c r="Q26" s="19">
        <f t="shared" si="11"/>
        <v>7200</v>
      </c>
      <c r="R26" s="19">
        <f t="shared" si="21"/>
        <v>27335.107800000002</v>
      </c>
      <c r="S26" s="20">
        <f t="shared" si="0"/>
        <v>1142656.8842507899</v>
      </c>
    </row>
    <row r="27" spans="2:19" ht="15" customHeight="1" x14ac:dyDescent="0.2">
      <c r="B27" s="23" t="s">
        <v>39</v>
      </c>
      <c r="C27" s="48">
        <v>7</v>
      </c>
      <c r="D27" s="48">
        <v>12</v>
      </c>
      <c r="E27" s="18">
        <v>1</v>
      </c>
      <c r="F27" s="19">
        <v>54670.215599999996</v>
      </c>
      <c r="G27" s="19">
        <f t="shared" si="13"/>
        <v>656402.25967105303</v>
      </c>
      <c r="H27" s="19">
        <f t="shared" si="14"/>
        <v>8991.8117763157898</v>
      </c>
      <c r="I27" s="19">
        <f t="shared" si="15"/>
        <v>89918.117763157905</v>
      </c>
      <c r="J27" s="19">
        <f t="shared" si="16"/>
        <v>27793.710752631599</v>
      </c>
      <c r="K27" s="19">
        <f t="shared" si="1"/>
        <v>127670.95885096182</v>
      </c>
      <c r="L27" s="19">
        <f t="shared" si="17"/>
        <v>39654.409210682701</v>
      </c>
      <c r="M27" s="19">
        <f t="shared" si="18"/>
        <v>19692.067790131601</v>
      </c>
      <c r="N27" s="19">
        <f t="shared" si="19"/>
        <v>114870.395442434</v>
      </c>
      <c r="O27" s="19">
        <f t="shared" si="20"/>
        <v>13128.0451934211</v>
      </c>
      <c r="P27" s="19">
        <f t="shared" si="10"/>
        <v>10000</v>
      </c>
      <c r="Q27" s="19">
        <f t="shared" si="11"/>
        <v>7200</v>
      </c>
      <c r="R27" s="19">
        <f t="shared" si="21"/>
        <v>27335.107800000002</v>
      </c>
      <c r="S27" s="20">
        <f t="shared" si="0"/>
        <v>1142656.8842507899</v>
      </c>
    </row>
    <row r="28" spans="2:19" x14ac:dyDescent="0.2">
      <c r="B28" s="23" t="s">
        <v>46</v>
      </c>
      <c r="C28" s="48">
        <v>7</v>
      </c>
      <c r="D28" s="48">
        <v>12</v>
      </c>
      <c r="E28" s="18">
        <v>1</v>
      </c>
      <c r="F28" s="19">
        <v>54670.215599999996</v>
      </c>
      <c r="G28" s="19">
        <f t="shared" si="13"/>
        <v>656402.25967105303</v>
      </c>
      <c r="H28" s="19">
        <f t="shared" si="14"/>
        <v>8991.8117763157898</v>
      </c>
      <c r="I28" s="19">
        <f t="shared" si="15"/>
        <v>89918.117763157905</v>
      </c>
      <c r="J28" s="19">
        <f t="shared" si="16"/>
        <v>27793.710752631599</v>
      </c>
      <c r="K28" s="19">
        <f t="shared" si="1"/>
        <v>127670.95885096182</v>
      </c>
      <c r="L28" s="19">
        <f t="shared" si="17"/>
        <v>39654.409210682701</v>
      </c>
      <c r="M28" s="19">
        <f t="shared" si="18"/>
        <v>19692.067790131601</v>
      </c>
      <c r="N28" s="19">
        <f t="shared" si="19"/>
        <v>114870.395442434</v>
      </c>
      <c r="O28" s="19">
        <f t="shared" si="20"/>
        <v>13128.0451934211</v>
      </c>
      <c r="P28" s="19">
        <f t="shared" si="10"/>
        <v>10000</v>
      </c>
      <c r="Q28" s="19">
        <f t="shared" si="11"/>
        <v>7200</v>
      </c>
      <c r="R28" s="19">
        <f t="shared" si="21"/>
        <v>27335.107800000002</v>
      </c>
      <c r="S28" s="20">
        <f t="shared" si="0"/>
        <v>1142656.8842507899</v>
      </c>
    </row>
    <row r="29" spans="2:19" ht="15" customHeight="1" x14ac:dyDescent="0.2">
      <c r="B29" s="23" t="s">
        <v>47</v>
      </c>
      <c r="C29" s="48">
        <v>7</v>
      </c>
      <c r="D29" s="48">
        <v>12</v>
      </c>
      <c r="E29" s="18">
        <v>1</v>
      </c>
      <c r="F29" s="19">
        <v>54670.215599999996</v>
      </c>
      <c r="G29" s="19">
        <f t="shared" si="13"/>
        <v>656402.25967105303</v>
      </c>
      <c r="H29" s="19">
        <f t="shared" si="14"/>
        <v>8991.8117763157898</v>
      </c>
      <c r="I29" s="19">
        <f t="shared" si="15"/>
        <v>89918.117763157905</v>
      </c>
      <c r="J29" s="19">
        <f t="shared" si="16"/>
        <v>27793.710752631599</v>
      </c>
      <c r="K29" s="19">
        <f t="shared" si="1"/>
        <v>127670.95885096182</v>
      </c>
      <c r="L29" s="19">
        <f t="shared" si="17"/>
        <v>39654.409210682701</v>
      </c>
      <c r="M29" s="19">
        <f t="shared" si="18"/>
        <v>19692.067790131601</v>
      </c>
      <c r="N29" s="19">
        <f t="shared" si="19"/>
        <v>114870.395442434</v>
      </c>
      <c r="O29" s="19">
        <f t="shared" si="20"/>
        <v>13128.0451934211</v>
      </c>
      <c r="P29" s="19">
        <f t="shared" si="10"/>
        <v>10000</v>
      </c>
      <c r="Q29" s="19">
        <f t="shared" si="11"/>
        <v>7200</v>
      </c>
      <c r="R29" s="19">
        <f t="shared" si="21"/>
        <v>27335.107800000002</v>
      </c>
      <c r="S29" s="20">
        <f t="shared" si="0"/>
        <v>1142656.8842507899</v>
      </c>
    </row>
    <row r="30" spans="2:19" x14ac:dyDescent="0.2">
      <c r="B30" s="17" t="s">
        <v>2</v>
      </c>
      <c r="C30" s="48">
        <v>6</v>
      </c>
      <c r="D30" s="48">
        <v>12</v>
      </c>
      <c r="E30" s="18">
        <v>6</v>
      </c>
      <c r="F30" s="19">
        <v>37450.803599999999</v>
      </c>
      <c r="G30" s="19">
        <f>449656.030065789*E30</f>
        <v>2697936.1803947343</v>
      </c>
      <c r="H30" s="19">
        <f>6159.67164473684*E30</f>
        <v>36958.029868421043</v>
      </c>
      <c r="I30" s="19">
        <f>61596.7164473684*E30</f>
        <v>369580.2986842104</v>
      </c>
      <c r="J30" s="19">
        <f>17545.3549342105*E30</f>
        <v>105272.12960526301</v>
      </c>
      <c r="K30" s="19">
        <f t="shared" si="1"/>
        <v>524751.54372916569</v>
      </c>
      <c r="L30" s="19">
        <f>27164.507674327*E30</f>
        <v>162987.04604596199</v>
      </c>
      <c r="M30" s="19">
        <f>13489.6809019737*E30</f>
        <v>80938.085411842199</v>
      </c>
      <c r="N30" s="19">
        <f>78689.8052615131*E30</f>
        <v>472138.83156907861</v>
      </c>
      <c r="O30" s="19">
        <f>8993.12060131579*E30</f>
        <v>53958.723607894739</v>
      </c>
      <c r="P30" s="19">
        <f t="shared" si="10"/>
        <v>60000</v>
      </c>
      <c r="Q30" s="19">
        <f t="shared" si="11"/>
        <v>43200</v>
      </c>
      <c r="R30" s="19">
        <f>18725.4018*E30</f>
        <v>112352.4108</v>
      </c>
      <c r="S30" s="20">
        <f t="shared" si="0"/>
        <v>4720073.2797165718</v>
      </c>
    </row>
    <row r="31" spans="2:19" ht="15" customHeight="1" x14ac:dyDescent="0.2">
      <c r="B31" s="17" t="s">
        <v>2</v>
      </c>
      <c r="C31" s="57"/>
      <c r="D31" s="48">
        <v>12</v>
      </c>
      <c r="E31" s="18">
        <v>6</v>
      </c>
      <c r="F31" s="19">
        <v>37450.803599999999</v>
      </c>
      <c r="G31" s="19">
        <f>449656.030065789*E31</f>
        <v>2697936.1803947343</v>
      </c>
      <c r="H31" s="19">
        <f>6159.67164473684*E31</f>
        <v>36958.029868421043</v>
      </c>
      <c r="I31" s="19">
        <f>61596.7164473684*E31</f>
        <v>369580.2986842104</v>
      </c>
      <c r="J31" s="19">
        <f>17545.3549342105*E31</f>
        <v>105272.12960526301</v>
      </c>
      <c r="K31" s="19">
        <f t="shared" si="1"/>
        <v>524751.54372916569</v>
      </c>
      <c r="L31" s="19">
        <f>27164.507674327*E31</f>
        <v>162987.04604596199</v>
      </c>
      <c r="M31" s="19">
        <f>13489.6809019737*E31</f>
        <v>80938.085411842199</v>
      </c>
      <c r="N31" s="19">
        <f>78689.8052615131*E31</f>
        <v>472138.83156907861</v>
      </c>
      <c r="O31" s="19">
        <f>8993.12060131579*E31</f>
        <v>53958.723607894739</v>
      </c>
      <c r="P31" s="19">
        <f t="shared" si="10"/>
        <v>60000</v>
      </c>
      <c r="Q31" s="19">
        <f t="shared" si="11"/>
        <v>43200</v>
      </c>
      <c r="R31" s="19">
        <f>18725.4018*E31</f>
        <v>112352.4108</v>
      </c>
      <c r="S31" s="20">
        <f t="shared" si="0"/>
        <v>4720073.2797165718</v>
      </c>
    </row>
    <row r="32" spans="2:19" x14ac:dyDescent="0.2">
      <c r="B32" s="52" t="s">
        <v>101</v>
      </c>
      <c r="C32" s="57"/>
      <c r="D32" s="58">
        <v>12</v>
      </c>
      <c r="E32" s="53">
        <v>1</v>
      </c>
      <c r="F32" s="54">
        <v>37450.803599999999</v>
      </c>
      <c r="G32" s="54">
        <v>449656.03006578947</v>
      </c>
      <c r="H32" s="54">
        <v>7357.734529963247</v>
      </c>
      <c r="I32" s="54">
        <v>73577.345299632478</v>
      </c>
      <c r="J32" s="54">
        <v>22152.93338331292</v>
      </c>
      <c r="K32" s="54">
        <v>87458.590621527634</v>
      </c>
      <c r="L32" s="54">
        <v>32448.034186307028</v>
      </c>
      <c r="M32" s="54">
        <v>16113.438620619512</v>
      </c>
      <c r="N32" s="54">
        <v>93995.058620280484</v>
      </c>
      <c r="O32" s="54">
        <v>10742.292413746341</v>
      </c>
      <c r="P32" s="54">
        <v>10000</v>
      </c>
      <c r="Q32" s="54">
        <v>7200</v>
      </c>
      <c r="R32" s="54">
        <v>18725.4018</v>
      </c>
      <c r="S32" s="55">
        <v>829426.85954117903</v>
      </c>
    </row>
    <row r="33" spans="2:19" ht="15" customHeight="1" x14ac:dyDescent="0.2">
      <c r="B33" s="23" t="s">
        <v>10</v>
      </c>
      <c r="C33" s="48">
        <v>5</v>
      </c>
      <c r="D33" s="48">
        <v>12</v>
      </c>
      <c r="E33" s="18">
        <v>1</v>
      </c>
      <c r="F33" s="19">
        <v>32763.603599999995</v>
      </c>
      <c r="G33" s="19">
        <f t="shared" ref="G33:G63" si="22">393378.793223684*E33</f>
        <v>393378.79322368401</v>
      </c>
      <c r="H33" s="19">
        <f t="shared" ref="H33:H63" si="23">5388.75059210526*E33</f>
        <v>5388.7505921052598</v>
      </c>
      <c r="I33" s="19">
        <f t="shared" ref="I33:I63" si="24">53887.5059210526*E33</f>
        <v>53887.505921052601</v>
      </c>
      <c r="J33" s="19">
        <f t="shared" ref="J33:J63" si="25">15232.5917763158*E33</f>
        <v>15232.5917763158</v>
      </c>
      <c r="K33" s="19">
        <f t="shared" ref="K33:K64" si="26">E33*F33*7.00657894736842*33.33%</f>
        <v>76512.606382053928</v>
      </c>
      <c r="L33" s="19">
        <f t="shared" ref="L33:L63" si="27">23764.7013115309*E33</f>
        <v>23764.701311530898</v>
      </c>
      <c r="M33" s="19">
        <f t="shared" ref="M33:M63" si="28">11801.3637967105*E33</f>
        <v>11801.363796710501</v>
      </c>
      <c r="N33" s="19">
        <f t="shared" ref="N33:N63" si="29">68841.2888141447*E33</f>
        <v>68841.288814144704</v>
      </c>
      <c r="O33" s="19">
        <f t="shared" ref="O33:O63" si="30">7867.57586447368*E33</f>
        <v>7867.5758644736798</v>
      </c>
      <c r="P33" s="19">
        <f t="shared" ref="P33:P63" si="31">10000*E33</f>
        <v>10000</v>
      </c>
      <c r="Q33" s="19">
        <f t="shared" ref="Q33:Q63" si="32">7200*E33</f>
        <v>7200</v>
      </c>
      <c r="R33" s="19">
        <f t="shared" ref="R33:R63" si="33">16381.8018*E33</f>
        <v>16381.801799999999</v>
      </c>
      <c r="S33" s="20">
        <f t="shared" ref="S33:S64" si="34">SUM(G33:R33)</f>
        <v>690256.97948207147</v>
      </c>
    </row>
    <row r="34" spans="2:19" x14ac:dyDescent="0.2">
      <c r="B34" s="23" t="s">
        <v>95</v>
      </c>
      <c r="C34" s="48">
        <v>5</v>
      </c>
      <c r="D34" s="48">
        <v>12</v>
      </c>
      <c r="E34" s="18">
        <v>1</v>
      </c>
      <c r="F34" s="19">
        <v>32763.603599999995</v>
      </c>
      <c r="G34" s="19">
        <f t="shared" si="22"/>
        <v>393378.79322368401</v>
      </c>
      <c r="H34" s="19">
        <f t="shared" si="23"/>
        <v>5388.7505921052598</v>
      </c>
      <c r="I34" s="19">
        <f t="shared" si="24"/>
        <v>53887.505921052601</v>
      </c>
      <c r="J34" s="19">
        <f t="shared" si="25"/>
        <v>15232.5917763158</v>
      </c>
      <c r="K34" s="19">
        <f t="shared" si="26"/>
        <v>76512.606382053928</v>
      </c>
      <c r="L34" s="19">
        <f t="shared" si="27"/>
        <v>23764.701311530898</v>
      </c>
      <c r="M34" s="19">
        <f t="shared" si="28"/>
        <v>11801.363796710501</v>
      </c>
      <c r="N34" s="19">
        <f t="shared" si="29"/>
        <v>68841.288814144704</v>
      </c>
      <c r="O34" s="19">
        <f t="shared" si="30"/>
        <v>7867.5758644736798</v>
      </c>
      <c r="P34" s="19">
        <f t="shared" si="31"/>
        <v>10000</v>
      </c>
      <c r="Q34" s="19">
        <f t="shared" si="32"/>
        <v>7200</v>
      </c>
      <c r="R34" s="19">
        <f t="shared" si="33"/>
        <v>16381.801799999999</v>
      </c>
      <c r="S34" s="20">
        <f t="shared" si="34"/>
        <v>690256.97948207147</v>
      </c>
    </row>
    <row r="35" spans="2:19" ht="15" customHeight="1" x14ac:dyDescent="0.2">
      <c r="B35" s="23" t="s">
        <v>11</v>
      </c>
      <c r="C35" s="48">
        <v>5</v>
      </c>
      <c r="D35" s="48">
        <v>12</v>
      </c>
      <c r="E35" s="18">
        <v>1</v>
      </c>
      <c r="F35" s="19">
        <v>32763.603599999995</v>
      </c>
      <c r="G35" s="19">
        <f t="shared" si="22"/>
        <v>393378.79322368401</v>
      </c>
      <c r="H35" s="19">
        <f t="shared" si="23"/>
        <v>5388.7505921052598</v>
      </c>
      <c r="I35" s="19">
        <f t="shared" si="24"/>
        <v>53887.505921052601</v>
      </c>
      <c r="J35" s="19">
        <f t="shared" si="25"/>
        <v>15232.5917763158</v>
      </c>
      <c r="K35" s="19">
        <f t="shared" si="26"/>
        <v>76512.606382053928</v>
      </c>
      <c r="L35" s="19">
        <f t="shared" si="27"/>
        <v>23764.701311530898</v>
      </c>
      <c r="M35" s="19">
        <f t="shared" si="28"/>
        <v>11801.363796710501</v>
      </c>
      <c r="N35" s="19">
        <f t="shared" si="29"/>
        <v>68841.288814144704</v>
      </c>
      <c r="O35" s="19">
        <f t="shared" si="30"/>
        <v>7867.5758644736798</v>
      </c>
      <c r="P35" s="19">
        <f t="shared" si="31"/>
        <v>10000</v>
      </c>
      <c r="Q35" s="19">
        <f t="shared" si="32"/>
        <v>7200</v>
      </c>
      <c r="R35" s="19">
        <f t="shared" si="33"/>
        <v>16381.801799999999</v>
      </c>
      <c r="S35" s="20">
        <f t="shared" si="34"/>
        <v>690256.97948207147</v>
      </c>
    </row>
    <row r="36" spans="2:19" x14ac:dyDescent="0.2">
      <c r="B36" s="23" t="s">
        <v>15</v>
      </c>
      <c r="C36" s="48">
        <v>5</v>
      </c>
      <c r="D36" s="48">
        <v>12</v>
      </c>
      <c r="E36" s="18">
        <v>1</v>
      </c>
      <c r="F36" s="19">
        <v>32763.603599999995</v>
      </c>
      <c r="G36" s="19">
        <f t="shared" si="22"/>
        <v>393378.79322368401</v>
      </c>
      <c r="H36" s="19">
        <f t="shared" si="23"/>
        <v>5388.7505921052598</v>
      </c>
      <c r="I36" s="19">
        <f t="shared" si="24"/>
        <v>53887.505921052601</v>
      </c>
      <c r="J36" s="19">
        <f t="shared" si="25"/>
        <v>15232.5917763158</v>
      </c>
      <c r="K36" s="19">
        <f t="shared" si="26"/>
        <v>76512.606382053928</v>
      </c>
      <c r="L36" s="19">
        <f t="shared" si="27"/>
        <v>23764.701311530898</v>
      </c>
      <c r="M36" s="19">
        <f t="shared" si="28"/>
        <v>11801.363796710501</v>
      </c>
      <c r="N36" s="19">
        <f t="shared" si="29"/>
        <v>68841.288814144704</v>
      </c>
      <c r="O36" s="19">
        <f t="shared" si="30"/>
        <v>7867.5758644736798</v>
      </c>
      <c r="P36" s="19">
        <f t="shared" si="31"/>
        <v>10000</v>
      </c>
      <c r="Q36" s="19">
        <f t="shared" si="32"/>
        <v>7200</v>
      </c>
      <c r="R36" s="19">
        <f t="shared" si="33"/>
        <v>16381.801799999999</v>
      </c>
      <c r="S36" s="20">
        <f t="shared" si="34"/>
        <v>690256.97948207147</v>
      </c>
    </row>
    <row r="37" spans="2:19" ht="15" customHeight="1" x14ac:dyDescent="0.2">
      <c r="B37" s="23" t="s">
        <v>16</v>
      </c>
      <c r="C37" s="48">
        <v>5</v>
      </c>
      <c r="D37" s="48">
        <v>12</v>
      </c>
      <c r="E37" s="18">
        <v>1</v>
      </c>
      <c r="F37" s="19">
        <v>32763.603599999995</v>
      </c>
      <c r="G37" s="19">
        <f t="shared" si="22"/>
        <v>393378.79322368401</v>
      </c>
      <c r="H37" s="19">
        <f t="shared" si="23"/>
        <v>5388.7505921052598</v>
      </c>
      <c r="I37" s="19">
        <f t="shared" si="24"/>
        <v>53887.505921052601</v>
      </c>
      <c r="J37" s="19">
        <f t="shared" si="25"/>
        <v>15232.5917763158</v>
      </c>
      <c r="K37" s="19">
        <f t="shared" si="26"/>
        <v>76512.606382053928</v>
      </c>
      <c r="L37" s="19">
        <f t="shared" si="27"/>
        <v>23764.701311530898</v>
      </c>
      <c r="M37" s="19">
        <f t="shared" si="28"/>
        <v>11801.363796710501</v>
      </c>
      <c r="N37" s="19">
        <f t="shared" si="29"/>
        <v>68841.288814144704</v>
      </c>
      <c r="O37" s="19">
        <f t="shared" si="30"/>
        <v>7867.5758644736798</v>
      </c>
      <c r="P37" s="19">
        <f t="shared" si="31"/>
        <v>10000</v>
      </c>
      <c r="Q37" s="19">
        <f t="shared" si="32"/>
        <v>7200</v>
      </c>
      <c r="R37" s="19">
        <f t="shared" si="33"/>
        <v>16381.801799999999</v>
      </c>
      <c r="S37" s="20">
        <f t="shared" si="34"/>
        <v>690256.97948207147</v>
      </c>
    </row>
    <row r="38" spans="2:19" x14ac:dyDescent="0.2">
      <c r="B38" s="23" t="s">
        <v>17</v>
      </c>
      <c r="C38" s="48">
        <v>5</v>
      </c>
      <c r="D38" s="48">
        <v>12</v>
      </c>
      <c r="E38" s="18">
        <v>1</v>
      </c>
      <c r="F38" s="19">
        <v>32763.603599999995</v>
      </c>
      <c r="G38" s="19">
        <f t="shared" si="22"/>
        <v>393378.79322368401</v>
      </c>
      <c r="H38" s="19">
        <f t="shared" si="23"/>
        <v>5388.7505921052598</v>
      </c>
      <c r="I38" s="19">
        <f t="shared" si="24"/>
        <v>53887.505921052601</v>
      </c>
      <c r="J38" s="19">
        <f t="shared" si="25"/>
        <v>15232.5917763158</v>
      </c>
      <c r="K38" s="19">
        <f t="shared" si="26"/>
        <v>76512.606382053928</v>
      </c>
      <c r="L38" s="19">
        <f t="shared" si="27"/>
        <v>23764.701311530898</v>
      </c>
      <c r="M38" s="19">
        <f t="shared" si="28"/>
        <v>11801.363796710501</v>
      </c>
      <c r="N38" s="19">
        <f t="shared" si="29"/>
        <v>68841.288814144704</v>
      </c>
      <c r="O38" s="19">
        <f t="shared" si="30"/>
        <v>7867.5758644736798</v>
      </c>
      <c r="P38" s="19">
        <f t="shared" si="31"/>
        <v>10000</v>
      </c>
      <c r="Q38" s="19">
        <f t="shared" si="32"/>
        <v>7200</v>
      </c>
      <c r="R38" s="19">
        <f t="shared" si="33"/>
        <v>16381.801799999999</v>
      </c>
      <c r="S38" s="20">
        <f t="shared" si="34"/>
        <v>690256.97948207147</v>
      </c>
    </row>
    <row r="39" spans="2:19" ht="15" customHeight="1" x14ac:dyDescent="0.2">
      <c r="B39" s="23" t="s">
        <v>18</v>
      </c>
      <c r="C39" s="48">
        <v>5</v>
      </c>
      <c r="D39" s="48">
        <v>12</v>
      </c>
      <c r="E39" s="18">
        <v>1</v>
      </c>
      <c r="F39" s="19">
        <v>32763.603599999995</v>
      </c>
      <c r="G39" s="19">
        <f t="shared" si="22"/>
        <v>393378.79322368401</v>
      </c>
      <c r="H39" s="19">
        <f t="shared" si="23"/>
        <v>5388.7505921052598</v>
      </c>
      <c r="I39" s="19">
        <f t="shared" si="24"/>
        <v>53887.505921052601</v>
      </c>
      <c r="J39" s="19">
        <f t="shared" si="25"/>
        <v>15232.5917763158</v>
      </c>
      <c r="K39" s="19">
        <f t="shared" si="26"/>
        <v>76512.606382053928</v>
      </c>
      <c r="L39" s="19">
        <f t="shared" si="27"/>
        <v>23764.701311530898</v>
      </c>
      <c r="M39" s="19">
        <f t="shared" si="28"/>
        <v>11801.363796710501</v>
      </c>
      <c r="N39" s="19">
        <f t="shared" si="29"/>
        <v>68841.288814144704</v>
      </c>
      <c r="O39" s="19">
        <f t="shared" si="30"/>
        <v>7867.5758644736798</v>
      </c>
      <c r="P39" s="19">
        <f t="shared" si="31"/>
        <v>10000</v>
      </c>
      <c r="Q39" s="19">
        <f t="shared" si="32"/>
        <v>7200</v>
      </c>
      <c r="R39" s="19">
        <f t="shared" si="33"/>
        <v>16381.801799999999</v>
      </c>
      <c r="S39" s="47">
        <f t="shared" si="34"/>
        <v>690256.97948207147</v>
      </c>
    </row>
    <row r="40" spans="2:19" x14ac:dyDescent="0.2">
      <c r="B40" s="23" t="s">
        <v>19</v>
      </c>
      <c r="C40" s="48">
        <v>5</v>
      </c>
      <c r="D40" s="48">
        <v>12</v>
      </c>
      <c r="E40" s="18">
        <v>1</v>
      </c>
      <c r="F40" s="19">
        <v>32763.603599999995</v>
      </c>
      <c r="G40" s="19">
        <f t="shared" si="22"/>
        <v>393378.79322368401</v>
      </c>
      <c r="H40" s="19">
        <f t="shared" si="23"/>
        <v>5388.7505921052598</v>
      </c>
      <c r="I40" s="19">
        <f t="shared" si="24"/>
        <v>53887.505921052601</v>
      </c>
      <c r="J40" s="19">
        <f t="shared" si="25"/>
        <v>15232.5917763158</v>
      </c>
      <c r="K40" s="19">
        <f t="shared" si="26"/>
        <v>76512.606382053928</v>
      </c>
      <c r="L40" s="19">
        <f t="shared" si="27"/>
        <v>23764.701311530898</v>
      </c>
      <c r="M40" s="19">
        <f t="shared" si="28"/>
        <v>11801.363796710501</v>
      </c>
      <c r="N40" s="19">
        <f t="shared" si="29"/>
        <v>68841.288814144704</v>
      </c>
      <c r="O40" s="19">
        <f t="shared" si="30"/>
        <v>7867.5758644736798</v>
      </c>
      <c r="P40" s="19">
        <f t="shared" si="31"/>
        <v>10000</v>
      </c>
      <c r="Q40" s="19">
        <f t="shared" si="32"/>
        <v>7200</v>
      </c>
      <c r="R40" s="19">
        <f t="shared" si="33"/>
        <v>16381.801799999999</v>
      </c>
      <c r="S40" s="20">
        <f t="shared" si="34"/>
        <v>690256.97948207147</v>
      </c>
    </row>
    <row r="41" spans="2:19" ht="15" customHeight="1" x14ac:dyDescent="0.2">
      <c r="B41" s="23" t="s">
        <v>20</v>
      </c>
      <c r="C41" s="48">
        <v>5</v>
      </c>
      <c r="D41" s="48">
        <v>12</v>
      </c>
      <c r="E41" s="18">
        <v>1</v>
      </c>
      <c r="F41" s="19">
        <v>32763.603599999995</v>
      </c>
      <c r="G41" s="19">
        <f t="shared" si="22"/>
        <v>393378.79322368401</v>
      </c>
      <c r="H41" s="19">
        <f t="shared" si="23"/>
        <v>5388.7505921052598</v>
      </c>
      <c r="I41" s="19">
        <f t="shared" si="24"/>
        <v>53887.505921052601</v>
      </c>
      <c r="J41" s="19">
        <f t="shared" si="25"/>
        <v>15232.5917763158</v>
      </c>
      <c r="K41" s="19">
        <f t="shared" si="26"/>
        <v>76512.606382053928</v>
      </c>
      <c r="L41" s="19">
        <f t="shared" si="27"/>
        <v>23764.701311530898</v>
      </c>
      <c r="M41" s="19">
        <f t="shared" si="28"/>
        <v>11801.363796710501</v>
      </c>
      <c r="N41" s="19">
        <f t="shared" si="29"/>
        <v>68841.288814144704</v>
      </c>
      <c r="O41" s="19">
        <f t="shared" si="30"/>
        <v>7867.5758644736798</v>
      </c>
      <c r="P41" s="19">
        <f t="shared" si="31"/>
        <v>10000</v>
      </c>
      <c r="Q41" s="19">
        <f t="shared" si="32"/>
        <v>7200</v>
      </c>
      <c r="R41" s="19">
        <f t="shared" si="33"/>
        <v>16381.801799999999</v>
      </c>
      <c r="S41" s="20">
        <f t="shared" si="34"/>
        <v>690256.97948207147</v>
      </c>
    </row>
    <row r="42" spans="2:19" x14ac:dyDescent="0.2">
      <c r="B42" s="23" t="s">
        <v>32</v>
      </c>
      <c r="C42" s="48">
        <v>5</v>
      </c>
      <c r="D42" s="48">
        <v>12</v>
      </c>
      <c r="E42" s="18">
        <v>1</v>
      </c>
      <c r="F42" s="19">
        <v>32763.603599999995</v>
      </c>
      <c r="G42" s="19">
        <f t="shared" si="22"/>
        <v>393378.79322368401</v>
      </c>
      <c r="H42" s="19">
        <f t="shared" si="23"/>
        <v>5388.7505921052598</v>
      </c>
      <c r="I42" s="19">
        <f t="shared" si="24"/>
        <v>53887.505921052601</v>
      </c>
      <c r="J42" s="19">
        <f t="shared" si="25"/>
        <v>15232.5917763158</v>
      </c>
      <c r="K42" s="19">
        <f t="shared" si="26"/>
        <v>76512.606382053928</v>
      </c>
      <c r="L42" s="19">
        <f t="shared" si="27"/>
        <v>23764.701311530898</v>
      </c>
      <c r="M42" s="19">
        <f t="shared" si="28"/>
        <v>11801.363796710501</v>
      </c>
      <c r="N42" s="19">
        <f t="shared" si="29"/>
        <v>68841.288814144704</v>
      </c>
      <c r="O42" s="19">
        <f t="shared" si="30"/>
        <v>7867.5758644736798</v>
      </c>
      <c r="P42" s="19">
        <f t="shared" si="31"/>
        <v>10000</v>
      </c>
      <c r="Q42" s="19">
        <f t="shared" si="32"/>
        <v>7200</v>
      </c>
      <c r="R42" s="19">
        <f t="shared" si="33"/>
        <v>16381.801799999999</v>
      </c>
      <c r="S42" s="20">
        <f t="shared" si="34"/>
        <v>690256.97948207147</v>
      </c>
    </row>
    <row r="43" spans="2:19" ht="15" customHeight="1" x14ac:dyDescent="0.2">
      <c r="B43" s="23" t="s">
        <v>33</v>
      </c>
      <c r="C43" s="48">
        <v>5</v>
      </c>
      <c r="D43" s="48">
        <v>12</v>
      </c>
      <c r="E43" s="18">
        <v>1</v>
      </c>
      <c r="F43" s="19">
        <v>32763.603599999995</v>
      </c>
      <c r="G43" s="19">
        <f t="shared" si="22"/>
        <v>393378.79322368401</v>
      </c>
      <c r="H43" s="19">
        <f t="shared" si="23"/>
        <v>5388.7505921052598</v>
      </c>
      <c r="I43" s="19">
        <f t="shared" si="24"/>
        <v>53887.505921052601</v>
      </c>
      <c r="J43" s="19">
        <f t="shared" si="25"/>
        <v>15232.5917763158</v>
      </c>
      <c r="K43" s="19">
        <f t="shared" si="26"/>
        <v>76512.606382053928</v>
      </c>
      <c r="L43" s="19">
        <f t="shared" si="27"/>
        <v>23764.701311530898</v>
      </c>
      <c r="M43" s="19">
        <f t="shared" si="28"/>
        <v>11801.363796710501</v>
      </c>
      <c r="N43" s="19">
        <f t="shared" si="29"/>
        <v>68841.288814144704</v>
      </c>
      <c r="O43" s="19">
        <f t="shared" si="30"/>
        <v>7867.5758644736798</v>
      </c>
      <c r="P43" s="19">
        <f t="shared" si="31"/>
        <v>10000</v>
      </c>
      <c r="Q43" s="19">
        <f t="shared" si="32"/>
        <v>7200</v>
      </c>
      <c r="R43" s="19">
        <f t="shared" si="33"/>
        <v>16381.801799999999</v>
      </c>
      <c r="S43" s="20">
        <f t="shared" si="34"/>
        <v>690256.97948207147</v>
      </c>
    </row>
    <row r="44" spans="2:19" x14ac:dyDescent="0.2">
      <c r="B44" s="23" t="s">
        <v>40</v>
      </c>
      <c r="C44" s="48">
        <v>5</v>
      </c>
      <c r="D44" s="48">
        <v>12</v>
      </c>
      <c r="E44" s="18">
        <v>2</v>
      </c>
      <c r="F44" s="19">
        <v>32763.603599999995</v>
      </c>
      <c r="G44" s="19">
        <f t="shared" si="22"/>
        <v>786757.58644736803</v>
      </c>
      <c r="H44" s="19">
        <f t="shared" si="23"/>
        <v>10777.50118421052</v>
      </c>
      <c r="I44" s="19">
        <f t="shared" si="24"/>
        <v>107775.0118421052</v>
      </c>
      <c r="J44" s="19">
        <f t="shared" si="25"/>
        <v>30465.183552631599</v>
      </c>
      <c r="K44" s="19">
        <f t="shared" si="26"/>
        <v>153025.21276410786</v>
      </c>
      <c r="L44" s="19">
        <f t="shared" si="27"/>
        <v>47529.402623061796</v>
      </c>
      <c r="M44" s="19">
        <f t="shared" si="28"/>
        <v>23602.727593421001</v>
      </c>
      <c r="N44" s="19">
        <f t="shared" si="29"/>
        <v>137682.57762828941</v>
      </c>
      <c r="O44" s="19">
        <f t="shared" si="30"/>
        <v>15735.15172894736</v>
      </c>
      <c r="P44" s="19">
        <f t="shared" si="31"/>
        <v>20000</v>
      </c>
      <c r="Q44" s="19">
        <f t="shared" si="32"/>
        <v>14400</v>
      </c>
      <c r="R44" s="19">
        <f t="shared" si="33"/>
        <v>32763.603599999999</v>
      </c>
      <c r="S44" s="20">
        <f t="shared" si="34"/>
        <v>1380513.9589641429</v>
      </c>
    </row>
    <row r="45" spans="2:19" ht="15" customHeight="1" x14ac:dyDescent="0.2">
      <c r="B45" s="23" t="s">
        <v>41</v>
      </c>
      <c r="C45" s="48">
        <v>5</v>
      </c>
      <c r="D45" s="48">
        <v>12</v>
      </c>
      <c r="E45" s="18">
        <v>2</v>
      </c>
      <c r="F45" s="19">
        <v>32763.603599999995</v>
      </c>
      <c r="G45" s="19">
        <f t="shared" si="22"/>
        <v>786757.58644736803</v>
      </c>
      <c r="H45" s="19">
        <f t="shared" si="23"/>
        <v>10777.50118421052</v>
      </c>
      <c r="I45" s="19">
        <f t="shared" si="24"/>
        <v>107775.0118421052</v>
      </c>
      <c r="J45" s="19">
        <f t="shared" si="25"/>
        <v>30465.183552631599</v>
      </c>
      <c r="K45" s="19">
        <f t="shared" si="26"/>
        <v>153025.21276410786</v>
      </c>
      <c r="L45" s="19">
        <f t="shared" si="27"/>
        <v>47529.402623061796</v>
      </c>
      <c r="M45" s="19">
        <f t="shared" si="28"/>
        <v>23602.727593421001</v>
      </c>
      <c r="N45" s="19">
        <f t="shared" si="29"/>
        <v>137682.57762828941</v>
      </c>
      <c r="O45" s="19">
        <f t="shared" si="30"/>
        <v>15735.15172894736</v>
      </c>
      <c r="P45" s="19">
        <f t="shared" si="31"/>
        <v>20000</v>
      </c>
      <c r="Q45" s="19">
        <f t="shared" si="32"/>
        <v>14400</v>
      </c>
      <c r="R45" s="19">
        <f t="shared" si="33"/>
        <v>32763.603599999999</v>
      </c>
      <c r="S45" s="20">
        <f t="shared" si="34"/>
        <v>1380513.9589641429</v>
      </c>
    </row>
    <row r="46" spans="2:19" x14ac:dyDescent="0.2">
      <c r="B46" s="23" t="s">
        <v>42</v>
      </c>
      <c r="C46" s="48">
        <v>5</v>
      </c>
      <c r="D46" s="48">
        <v>12</v>
      </c>
      <c r="E46" s="18">
        <v>2</v>
      </c>
      <c r="F46" s="19">
        <v>32763.603599999995</v>
      </c>
      <c r="G46" s="19">
        <f t="shared" si="22"/>
        <v>786757.58644736803</v>
      </c>
      <c r="H46" s="19">
        <f t="shared" si="23"/>
        <v>10777.50118421052</v>
      </c>
      <c r="I46" s="19">
        <f t="shared" si="24"/>
        <v>107775.0118421052</v>
      </c>
      <c r="J46" s="19">
        <f t="shared" si="25"/>
        <v>30465.183552631599</v>
      </c>
      <c r="K46" s="19">
        <f t="shared" si="26"/>
        <v>153025.21276410786</v>
      </c>
      <c r="L46" s="19">
        <f t="shared" si="27"/>
        <v>47529.402623061796</v>
      </c>
      <c r="M46" s="19">
        <f t="shared" si="28"/>
        <v>23602.727593421001</v>
      </c>
      <c r="N46" s="19">
        <f t="shared" si="29"/>
        <v>137682.57762828941</v>
      </c>
      <c r="O46" s="19">
        <f t="shared" si="30"/>
        <v>15735.15172894736</v>
      </c>
      <c r="P46" s="19">
        <f t="shared" si="31"/>
        <v>20000</v>
      </c>
      <c r="Q46" s="19">
        <f t="shared" si="32"/>
        <v>14400</v>
      </c>
      <c r="R46" s="19">
        <f t="shared" si="33"/>
        <v>32763.603599999999</v>
      </c>
      <c r="S46" s="20">
        <f t="shared" si="34"/>
        <v>1380513.9589641429</v>
      </c>
    </row>
    <row r="47" spans="2:19" ht="15" customHeight="1" x14ac:dyDescent="0.2">
      <c r="B47" s="23" t="s">
        <v>43</v>
      </c>
      <c r="C47" s="48">
        <v>5</v>
      </c>
      <c r="D47" s="48">
        <v>12</v>
      </c>
      <c r="E47" s="18">
        <v>1</v>
      </c>
      <c r="F47" s="19">
        <v>32763.603599999995</v>
      </c>
      <c r="G47" s="19">
        <f t="shared" si="22"/>
        <v>393378.79322368401</v>
      </c>
      <c r="H47" s="19">
        <f t="shared" si="23"/>
        <v>5388.7505921052598</v>
      </c>
      <c r="I47" s="19">
        <f t="shared" si="24"/>
        <v>53887.505921052601</v>
      </c>
      <c r="J47" s="19">
        <f t="shared" si="25"/>
        <v>15232.5917763158</v>
      </c>
      <c r="K47" s="19">
        <f t="shared" si="26"/>
        <v>76512.606382053928</v>
      </c>
      <c r="L47" s="19">
        <f t="shared" si="27"/>
        <v>23764.701311530898</v>
      </c>
      <c r="M47" s="19">
        <f t="shared" si="28"/>
        <v>11801.363796710501</v>
      </c>
      <c r="N47" s="19">
        <f t="shared" si="29"/>
        <v>68841.288814144704</v>
      </c>
      <c r="O47" s="19">
        <f t="shared" si="30"/>
        <v>7867.5758644736798</v>
      </c>
      <c r="P47" s="19">
        <f t="shared" si="31"/>
        <v>10000</v>
      </c>
      <c r="Q47" s="19">
        <f t="shared" si="32"/>
        <v>7200</v>
      </c>
      <c r="R47" s="19">
        <f t="shared" si="33"/>
        <v>16381.801799999999</v>
      </c>
      <c r="S47" s="20">
        <f t="shared" si="34"/>
        <v>690256.97948207147</v>
      </c>
    </row>
    <row r="48" spans="2:19" x14ac:dyDescent="0.2">
      <c r="B48" s="23" t="s">
        <v>48</v>
      </c>
      <c r="C48" s="48">
        <v>5</v>
      </c>
      <c r="D48" s="48">
        <v>12</v>
      </c>
      <c r="E48" s="18">
        <v>1</v>
      </c>
      <c r="F48" s="19">
        <v>32763.603599999995</v>
      </c>
      <c r="G48" s="19">
        <f t="shared" si="22"/>
        <v>393378.79322368401</v>
      </c>
      <c r="H48" s="19">
        <f t="shared" si="23"/>
        <v>5388.7505921052598</v>
      </c>
      <c r="I48" s="19">
        <f t="shared" si="24"/>
        <v>53887.505921052601</v>
      </c>
      <c r="J48" s="19">
        <f t="shared" si="25"/>
        <v>15232.5917763158</v>
      </c>
      <c r="K48" s="19">
        <f t="shared" si="26"/>
        <v>76512.606382053928</v>
      </c>
      <c r="L48" s="19">
        <f t="shared" si="27"/>
        <v>23764.701311530898</v>
      </c>
      <c r="M48" s="19">
        <f t="shared" si="28"/>
        <v>11801.363796710501</v>
      </c>
      <c r="N48" s="19">
        <f t="shared" si="29"/>
        <v>68841.288814144704</v>
      </c>
      <c r="O48" s="19">
        <f t="shared" si="30"/>
        <v>7867.5758644736798</v>
      </c>
      <c r="P48" s="19">
        <f t="shared" si="31"/>
        <v>10000</v>
      </c>
      <c r="Q48" s="19">
        <f t="shared" si="32"/>
        <v>7200</v>
      </c>
      <c r="R48" s="19">
        <f t="shared" si="33"/>
        <v>16381.801799999999</v>
      </c>
      <c r="S48" s="20">
        <f t="shared" si="34"/>
        <v>690256.97948207147</v>
      </c>
    </row>
    <row r="49" spans="2:19" ht="15" customHeight="1" x14ac:dyDescent="0.2">
      <c r="B49" s="23" t="s">
        <v>49</v>
      </c>
      <c r="C49" s="48">
        <v>5</v>
      </c>
      <c r="D49" s="48">
        <v>12</v>
      </c>
      <c r="E49" s="18">
        <v>1</v>
      </c>
      <c r="F49" s="19">
        <v>32763.603599999995</v>
      </c>
      <c r="G49" s="19">
        <f t="shared" si="22"/>
        <v>393378.79322368401</v>
      </c>
      <c r="H49" s="19">
        <f t="shared" si="23"/>
        <v>5388.7505921052598</v>
      </c>
      <c r="I49" s="19">
        <f t="shared" si="24"/>
        <v>53887.505921052601</v>
      </c>
      <c r="J49" s="19">
        <f t="shared" si="25"/>
        <v>15232.5917763158</v>
      </c>
      <c r="K49" s="19">
        <f t="shared" si="26"/>
        <v>76512.606382053928</v>
      </c>
      <c r="L49" s="19">
        <f t="shared" si="27"/>
        <v>23764.701311530898</v>
      </c>
      <c r="M49" s="19">
        <f t="shared" si="28"/>
        <v>11801.363796710501</v>
      </c>
      <c r="N49" s="19">
        <f t="shared" si="29"/>
        <v>68841.288814144704</v>
      </c>
      <c r="O49" s="19">
        <f t="shared" si="30"/>
        <v>7867.5758644736798</v>
      </c>
      <c r="P49" s="19">
        <f t="shared" si="31"/>
        <v>10000</v>
      </c>
      <c r="Q49" s="19">
        <f t="shared" si="32"/>
        <v>7200</v>
      </c>
      <c r="R49" s="19">
        <f t="shared" si="33"/>
        <v>16381.801799999999</v>
      </c>
      <c r="S49" s="20">
        <f t="shared" si="34"/>
        <v>690256.97948207147</v>
      </c>
    </row>
    <row r="50" spans="2:19" x14ac:dyDescent="0.2">
      <c r="B50" s="23" t="s">
        <v>50</v>
      </c>
      <c r="C50" s="48">
        <v>5</v>
      </c>
      <c r="D50" s="48">
        <v>12</v>
      </c>
      <c r="E50" s="18">
        <v>1</v>
      </c>
      <c r="F50" s="19">
        <v>32763.603599999995</v>
      </c>
      <c r="G50" s="19">
        <f t="shared" si="22"/>
        <v>393378.79322368401</v>
      </c>
      <c r="H50" s="19">
        <f t="shared" si="23"/>
        <v>5388.7505921052598</v>
      </c>
      <c r="I50" s="19">
        <f t="shared" si="24"/>
        <v>53887.505921052601</v>
      </c>
      <c r="J50" s="19">
        <f t="shared" si="25"/>
        <v>15232.5917763158</v>
      </c>
      <c r="K50" s="19">
        <f t="shared" si="26"/>
        <v>76512.606382053928</v>
      </c>
      <c r="L50" s="19">
        <f t="shared" si="27"/>
        <v>23764.701311530898</v>
      </c>
      <c r="M50" s="19">
        <f t="shared" si="28"/>
        <v>11801.363796710501</v>
      </c>
      <c r="N50" s="19">
        <f t="shared" si="29"/>
        <v>68841.288814144704</v>
      </c>
      <c r="O50" s="19">
        <f t="shared" si="30"/>
        <v>7867.5758644736798</v>
      </c>
      <c r="P50" s="19">
        <f t="shared" si="31"/>
        <v>10000</v>
      </c>
      <c r="Q50" s="19">
        <f t="shared" si="32"/>
        <v>7200</v>
      </c>
      <c r="R50" s="19">
        <f t="shared" si="33"/>
        <v>16381.801799999999</v>
      </c>
      <c r="S50" s="20">
        <f t="shared" si="34"/>
        <v>690256.97948207147</v>
      </c>
    </row>
    <row r="51" spans="2:19" ht="15" customHeight="1" x14ac:dyDescent="0.2">
      <c r="B51" s="23" t="s">
        <v>51</v>
      </c>
      <c r="C51" s="48">
        <v>5</v>
      </c>
      <c r="D51" s="48">
        <v>12</v>
      </c>
      <c r="E51" s="18">
        <v>1</v>
      </c>
      <c r="F51" s="19">
        <v>32763.603599999995</v>
      </c>
      <c r="G51" s="19">
        <f t="shared" si="22"/>
        <v>393378.79322368401</v>
      </c>
      <c r="H51" s="19">
        <f t="shared" si="23"/>
        <v>5388.7505921052598</v>
      </c>
      <c r="I51" s="19">
        <f t="shared" si="24"/>
        <v>53887.505921052601</v>
      </c>
      <c r="J51" s="19">
        <f t="shared" si="25"/>
        <v>15232.5917763158</v>
      </c>
      <c r="K51" s="19">
        <f t="shared" si="26"/>
        <v>76512.606382053928</v>
      </c>
      <c r="L51" s="19">
        <f t="shared" si="27"/>
        <v>23764.701311530898</v>
      </c>
      <c r="M51" s="19">
        <f t="shared" si="28"/>
        <v>11801.363796710501</v>
      </c>
      <c r="N51" s="19">
        <f t="shared" si="29"/>
        <v>68841.288814144704</v>
      </c>
      <c r="O51" s="19">
        <f t="shared" si="30"/>
        <v>7867.5758644736798</v>
      </c>
      <c r="P51" s="19">
        <f t="shared" si="31"/>
        <v>10000</v>
      </c>
      <c r="Q51" s="19">
        <f t="shared" si="32"/>
        <v>7200</v>
      </c>
      <c r="R51" s="19">
        <f t="shared" si="33"/>
        <v>16381.801799999999</v>
      </c>
      <c r="S51" s="20">
        <f t="shared" si="34"/>
        <v>690256.97948207147</v>
      </c>
    </row>
    <row r="52" spans="2:19" x14ac:dyDescent="0.2">
      <c r="B52" s="23" t="s">
        <v>52</v>
      </c>
      <c r="C52" s="48">
        <v>5</v>
      </c>
      <c r="D52" s="48">
        <v>12</v>
      </c>
      <c r="E52" s="18">
        <v>1</v>
      </c>
      <c r="F52" s="19">
        <v>32763.603599999995</v>
      </c>
      <c r="G52" s="19">
        <f t="shared" si="22"/>
        <v>393378.79322368401</v>
      </c>
      <c r="H52" s="19">
        <f t="shared" si="23"/>
        <v>5388.7505921052598</v>
      </c>
      <c r="I52" s="19">
        <f t="shared" si="24"/>
        <v>53887.505921052601</v>
      </c>
      <c r="J52" s="19">
        <f t="shared" si="25"/>
        <v>15232.5917763158</v>
      </c>
      <c r="K52" s="19">
        <f t="shared" si="26"/>
        <v>76512.606382053928</v>
      </c>
      <c r="L52" s="19">
        <f t="shared" si="27"/>
        <v>23764.701311530898</v>
      </c>
      <c r="M52" s="19">
        <f t="shared" si="28"/>
        <v>11801.363796710501</v>
      </c>
      <c r="N52" s="19">
        <f t="shared" si="29"/>
        <v>68841.288814144704</v>
      </c>
      <c r="O52" s="19">
        <f t="shared" si="30"/>
        <v>7867.5758644736798</v>
      </c>
      <c r="P52" s="19">
        <f t="shared" si="31"/>
        <v>10000</v>
      </c>
      <c r="Q52" s="19">
        <f t="shared" si="32"/>
        <v>7200</v>
      </c>
      <c r="R52" s="19">
        <f t="shared" si="33"/>
        <v>16381.801799999999</v>
      </c>
      <c r="S52" s="20">
        <f t="shared" si="34"/>
        <v>690256.97948207147</v>
      </c>
    </row>
    <row r="53" spans="2:19" ht="15" customHeight="1" x14ac:dyDescent="0.2">
      <c r="B53" s="23" t="s">
        <v>53</v>
      </c>
      <c r="C53" s="48">
        <v>5</v>
      </c>
      <c r="D53" s="48">
        <v>12</v>
      </c>
      <c r="E53" s="18">
        <v>1</v>
      </c>
      <c r="F53" s="19">
        <v>32763.603599999995</v>
      </c>
      <c r="G53" s="19">
        <f t="shared" si="22"/>
        <v>393378.79322368401</v>
      </c>
      <c r="H53" s="19">
        <f t="shared" si="23"/>
        <v>5388.7505921052598</v>
      </c>
      <c r="I53" s="19">
        <f t="shared" si="24"/>
        <v>53887.505921052601</v>
      </c>
      <c r="J53" s="19">
        <f t="shared" si="25"/>
        <v>15232.5917763158</v>
      </c>
      <c r="K53" s="19">
        <f t="shared" si="26"/>
        <v>76512.606382053928</v>
      </c>
      <c r="L53" s="19">
        <f t="shared" si="27"/>
        <v>23764.701311530898</v>
      </c>
      <c r="M53" s="19">
        <f t="shared" si="28"/>
        <v>11801.363796710501</v>
      </c>
      <c r="N53" s="19">
        <f t="shared" si="29"/>
        <v>68841.288814144704</v>
      </c>
      <c r="O53" s="19">
        <f t="shared" si="30"/>
        <v>7867.5758644736798</v>
      </c>
      <c r="P53" s="19">
        <f t="shared" si="31"/>
        <v>10000</v>
      </c>
      <c r="Q53" s="19">
        <f t="shared" si="32"/>
        <v>7200</v>
      </c>
      <c r="R53" s="19">
        <f t="shared" si="33"/>
        <v>16381.801799999999</v>
      </c>
      <c r="S53" s="20">
        <f t="shared" si="34"/>
        <v>690256.97948207147</v>
      </c>
    </row>
    <row r="54" spans="2:19" x14ac:dyDescent="0.2">
      <c r="B54" s="23" t="s">
        <v>54</v>
      </c>
      <c r="C54" s="48">
        <v>5</v>
      </c>
      <c r="D54" s="48">
        <v>12</v>
      </c>
      <c r="E54" s="18">
        <v>1</v>
      </c>
      <c r="F54" s="19">
        <v>32763.603599999995</v>
      </c>
      <c r="G54" s="19">
        <f t="shared" si="22"/>
        <v>393378.79322368401</v>
      </c>
      <c r="H54" s="19">
        <f t="shared" si="23"/>
        <v>5388.7505921052598</v>
      </c>
      <c r="I54" s="19">
        <f t="shared" si="24"/>
        <v>53887.505921052601</v>
      </c>
      <c r="J54" s="19">
        <f t="shared" si="25"/>
        <v>15232.5917763158</v>
      </c>
      <c r="K54" s="19">
        <f t="shared" si="26"/>
        <v>76512.606382053928</v>
      </c>
      <c r="L54" s="19">
        <f t="shared" si="27"/>
        <v>23764.701311530898</v>
      </c>
      <c r="M54" s="19">
        <f t="shared" si="28"/>
        <v>11801.363796710501</v>
      </c>
      <c r="N54" s="19">
        <f t="shared" si="29"/>
        <v>68841.288814144704</v>
      </c>
      <c r="O54" s="19">
        <f t="shared" si="30"/>
        <v>7867.5758644736798</v>
      </c>
      <c r="P54" s="19">
        <f t="shared" si="31"/>
        <v>10000</v>
      </c>
      <c r="Q54" s="19">
        <f t="shared" si="32"/>
        <v>7200</v>
      </c>
      <c r="R54" s="19">
        <f t="shared" si="33"/>
        <v>16381.801799999999</v>
      </c>
      <c r="S54" s="20">
        <f t="shared" si="34"/>
        <v>690256.97948207147</v>
      </c>
    </row>
    <row r="55" spans="2:19" ht="15" customHeight="1" x14ac:dyDescent="0.2">
      <c r="B55" s="23" t="s">
        <v>55</v>
      </c>
      <c r="C55" s="48">
        <v>5</v>
      </c>
      <c r="D55" s="48">
        <v>12</v>
      </c>
      <c r="E55" s="18">
        <v>1</v>
      </c>
      <c r="F55" s="19">
        <v>32763.603599999995</v>
      </c>
      <c r="G55" s="19">
        <f t="shared" si="22"/>
        <v>393378.79322368401</v>
      </c>
      <c r="H55" s="19">
        <f t="shared" si="23"/>
        <v>5388.7505921052598</v>
      </c>
      <c r="I55" s="19">
        <f t="shared" si="24"/>
        <v>53887.505921052601</v>
      </c>
      <c r="J55" s="19">
        <f t="shared" si="25"/>
        <v>15232.5917763158</v>
      </c>
      <c r="K55" s="19">
        <f t="shared" si="26"/>
        <v>76512.606382053928</v>
      </c>
      <c r="L55" s="19">
        <f t="shared" si="27"/>
        <v>23764.701311530898</v>
      </c>
      <c r="M55" s="19">
        <f t="shared" si="28"/>
        <v>11801.363796710501</v>
      </c>
      <c r="N55" s="19">
        <f t="shared" si="29"/>
        <v>68841.288814144704</v>
      </c>
      <c r="O55" s="19">
        <f t="shared" si="30"/>
        <v>7867.5758644736798</v>
      </c>
      <c r="P55" s="19">
        <f t="shared" si="31"/>
        <v>10000</v>
      </c>
      <c r="Q55" s="19">
        <f t="shared" si="32"/>
        <v>7200</v>
      </c>
      <c r="R55" s="19">
        <f t="shared" si="33"/>
        <v>16381.801799999999</v>
      </c>
      <c r="S55" s="20">
        <f t="shared" si="34"/>
        <v>690256.97948207147</v>
      </c>
    </row>
    <row r="56" spans="2:19" x14ac:dyDescent="0.2">
      <c r="B56" s="23" t="s">
        <v>64</v>
      </c>
      <c r="C56" s="48">
        <v>5</v>
      </c>
      <c r="D56" s="48">
        <v>12</v>
      </c>
      <c r="E56" s="18">
        <v>1</v>
      </c>
      <c r="F56" s="19">
        <v>32763.603599999995</v>
      </c>
      <c r="G56" s="19">
        <f t="shared" si="22"/>
        <v>393378.79322368401</v>
      </c>
      <c r="H56" s="19">
        <f t="shared" si="23"/>
        <v>5388.7505921052598</v>
      </c>
      <c r="I56" s="19">
        <f t="shared" si="24"/>
        <v>53887.505921052601</v>
      </c>
      <c r="J56" s="19">
        <f t="shared" si="25"/>
        <v>15232.5917763158</v>
      </c>
      <c r="K56" s="19">
        <f t="shared" si="26"/>
        <v>76512.606382053928</v>
      </c>
      <c r="L56" s="19">
        <f t="shared" si="27"/>
        <v>23764.701311530898</v>
      </c>
      <c r="M56" s="19">
        <f t="shared" si="28"/>
        <v>11801.363796710501</v>
      </c>
      <c r="N56" s="19">
        <f t="shared" si="29"/>
        <v>68841.288814144704</v>
      </c>
      <c r="O56" s="19">
        <f t="shared" si="30"/>
        <v>7867.5758644736798</v>
      </c>
      <c r="P56" s="19">
        <f t="shared" si="31"/>
        <v>10000</v>
      </c>
      <c r="Q56" s="19">
        <f t="shared" si="32"/>
        <v>7200</v>
      </c>
      <c r="R56" s="19">
        <f t="shared" si="33"/>
        <v>16381.801799999999</v>
      </c>
      <c r="S56" s="20">
        <f t="shared" si="34"/>
        <v>690256.97948207147</v>
      </c>
    </row>
    <row r="57" spans="2:19" ht="15" customHeight="1" x14ac:dyDescent="0.2">
      <c r="B57" s="23" t="s">
        <v>65</v>
      </c>
      <c r="C57" s="48">
        <v>5</v>
      </c>
      <c r="D57" s="48">
        <v>12</v>
      </c>
      <c r="E57" s="18">
        <v>1</v>
      </c>
      <c r="F57" s="19">
        <v>32763.603599999995</v>
      </c>
      <c r="G57" s="19">
        <f t="shared" si="22"/>
        <v>393378.79322368401</v>
      </c>
      <c r="H57" s="19">
        <f t="shared" si="23"/>
        <v>5388.7505921052598</v>
      </c>
      <c r="I57" s="19">
        <f t="shared" si="24"/>
        <v>53887.505921052601</v>
      </c>
      <c r="J57" s="19">
        <f t="shared" si="25"/>
        <v>15232.5917763158</v>
      </c>
      <c r="K57" s="19">
        <f t="shared" si="26"/>
        <v>76512.606382053928</v>
      </c>
      <c r="L57" s="19">
        <f t="shared" si="27"/>
        <v>23764.701311530898</v>
      </c>
      <c r="M57" s="19">
        <f t="shared" si="28"/>
        <v>11801.363796710501</v>
      </c>
      <c r="N57" s="19">
        <f t="shared" si="29"/>
        <v>68841.288814144704</v>
      </c>
      <c r="O57" s="19">
        <f t="shared" si="30"/>
        <v>7867.5758644736798</v>
      </c>
      <c r="P57" s="19">
        <f t="shared" si="31"/>
        <v>10000</v>
      </c>
      <c r="Q57" s="19">
        <f t="shared" si="32"/>
        <v>7200</v>
      </c>
      <c r="R57" s="19">
        <f t="shared" si="33"/>
        <v>16381.801799999999</v>
      </c>
      <c r="S57" s="20">
        <f t="shared" si="34"/>
        <v>690256.97948207147</v>
      </c>
    </row>
    <row r="58" spans="2:19" x14ac:dyDescent="0.2">
      <c r="B58" s="23" t="s">
        <v>66</v>
      </c>
      <c r="C58" s="48">
        <v>5</v>
      </c>
      <c r="D58" s="48">
        <v>12</v>
      </c>
      <c r="E58" s="18">
        <v>1</v>
      </c>
      <c r="F58" s="19">
        <v>32763.603599999995</v>
      </c>
      <c r="G58" s="19">
        <f t="shared" si="22"/>
        <v>393378.79322368401</v>
      </c>
      <c r="H58" s="19">
        <f t="shared" si="23"/>
        <v>5388.7505921052598</v>
      </c>
      <c r="I58" s="19">
        <f t="shared" si="24"/>
        <v>53887.505921052601</v>
      </c>
      <c r="J58" s="19">
        <f t="shared" si="25"/>
        <v>15232.5917763158</v>
      </c>
      <c r="K58" s="19">
        <f t="shared" si="26"/>
        <v>76512.606382053928</v>
      </c>
      <c r="L58" s="19">
        <f t="shared" si="27"/>
        <v>23764.701311530898</v>
      </c>
      <c r="M58" s="19">
        <f t="shared" si="28"/>
        <v>11801.363796710501</v>
      </c>
      <c r="N58" s="19">
        <f t="shared" si="29"/>
        <v>68841.288814144704</v>
      </c>
      <c r="O58" s="19">
        <f t="shared" si="30"/>
        <v>7867.5758644736798</v>
      </c>
      <c r="P58" s="19">
        <f t="shared" si="31"/>
        <v>10000</v>
      </c>
      <c r="Q58" s="19">
        <f t="shared" si="32"/>
        <v>7200</v>
      </c>
      <c r="R58" s="19">
        <f t="shared" si="33"/>
        <v>16381.801799999999</v>
      </c>
      <c r="S58" s="20">
        <f t="shared" si="34"/>
        <v>690256.97948207147</v>
      </c>
    </row>
    <row r="59" spans="2:19" ht="15" customHeight="1" x14ac:dyDescent="0.2">
      <c r="B59" s="23" t="s">
        <v>67</v>
      </c>
      <c r="C59" s="48">
        <v>5</v>
      </c>
      <c r="D59" s="48">
        <v>12</v>
      </c>
      <c r="E59" s="18">
        <v>1</v>
      </c>
      <c r="F59" s="19">
        <v>32763.603599999995</v>
      </c>
      <c r="G59" s="19">
        <f t="shared" si="22"/>
        <v>393378.79322368401</v>
      </c>
      <c r="H59" s="19">
        <f t="shared" si="23"/>
        <v>5388.7505921052598</v>
      </c>
      <c r="I59" s="19">
        <f t="shared" si="24"/>
        <v>53887.505921052601</v>
      </c>
      <c r="J59" s="19">
        <f t="shared" si="25"/>
        <v>15232.5917763158</v>
      </c>
      <c r="K59" s="19">
        <f t="shared" si="26"/>
        <v>76512.606382053928</v>
      </c>
      <c r="L59" s="19">
        <f t="shared" si="27"/>
        <v>23764.701311530898</v>
      </c>
      <c r="M59" s="19">
        <f t="shared" si="28"/>
        <v>11801.363796710501</v>
      </c>
      <c r="N59" s="19">
        <f t="shared" si="29"/>
        <v>68841.288814144704</v>
      </c>
      <c r="O59" s="19">
        <f t="shared" si="30"/>
        <v>7867.5758644736798</v>
      </c>
      <c r="P59" s="19">
        <f t="shared" si="31"/>
        <v>10000</v>
      </c>
      <c r="Q59" s="19">
        <f t="shared" si="32"/>
        <v>7200</v>
      </c>
      <c r="R59" s="19">
        <f t="shared" si="33"/>
        <v>16381.801799999999</v>
      </c>
      <c r="S59" s="20">
        <f t="shared" si="34"/>
        <v>690256.97948207147</v>
      </c>
    </row>
    <row r="60" spans="2:19" x14ac:dyDescent="0.2">
      <c r="B60" s="23" t="s">
        <v>72</v>
      </c>
      <c r="C60" s="48">
        <v>5</v>
      </c>
      <c r="D60" s="48">
        <v>12</v>
      </c>
      <c r="E60" s="18">
        <v>1</v>
      </c>
      <c r="F60" s="19">
        <v>32763.603599999995</v>
      </c>
      <c r="G60" s="19">
        <f t="shared" si="22"/>
        <v>393378.79322368401</v>
      </c>
      <c r="H60" s="19">
        <f t="shared" si="23"/>
        <v>5388.7505921052598</v>
      </c>
      <c r="I60" s="19">
        <f t="shared" si="24"/>
        <v>53887.505921052601</v>
      </c>
      <c r="J60" s="19">
        <f t="shared" si="25"/>
        <v>15232.5917763158</v>
      </c>
      <c r="K60" s="19">
        <f t="shared" si="26"/>
        <v>76512.606382053928</v>
      </c>
      <c r="L60" s="19">
        <f t="shared" si="27"/>
        <v>23764.701311530898</v>
      </c>
      <c r="M60" s="19">
        <f t="shared" si="28"/>
        <v>11801.363796710501</v>
      </c>
      <c r="N60" s="19">
        <f t="shared" si="29"/>
        <v>68841.288814144704</v>
      </c>
      <c r="O60" s="19">
        <f t="shared" si="30"/>
        <v>7867.5758644736798</v>
      </c>
      <c r="P60" s="19">
        <f t="shared" si="31"/>
        <v>10000</v>
      </c>
      <c r="Q60" s="19">
        <f t="shared" si="32"/>
        <v>7200</v>
      </c>
      <c r="R60" s="19">
        <f t="shared" si="33"/>
        <v>16381.801799999999</v>
      </c>
      <c r="S60" s="20">
        <f t="shared" si="34"/>
        <v>690256.97948207147</v>
      </c>
    </row>
    <row r="61" spans="2:19" ht="15" customHeight="1" x14ac:dyDescent="0.2">
      <c r="B61" s="23" t="s">
        <v>73</v>
      </c>
      <c r="C61" s="48">
        <v>5</v>
      </c>
      <c r="D61" s="48">
        <v>12</v>
      </c>
      <c r="E61" s="18">
        <v>1</v>
      </c>
      <c r="F61" s="19">
        <v>32763.603599999995</v>
      </c>
      <c r="G61" s="19">
        <f t="shared" si="22"/>
        <v>393378.79322368401</v>
      </c>
      <c r="H61" s="19">
        <f t="shared" si="23"/>
        <v>5388.7505921052598</v>
      </c>
      <c r="I61" s="19">
        <f t="shared" si="24"/>
        <v>53887.505921052601</v>
      </c>
      <c r="J61" s="19">
        <f t="shared" si="25"/>
        <v>15232.5917763158</v>
      </c>
      <c r="K61" s="19">
        <f t="shared" si="26"/>
        <v>76512.606382053928</v>
      </c>
      <c r="L61" s="19">
        <f t="shared" si="27"/>
        <v>23764.701311530898</v>
      </c>
      <c r="M61" s="19">
        <f t="shared" si="28"/>
        <v>11801.363796710501</v>
      </c>
      <c r="N61" s="19">
        <f t="shared" si="29"/>
        <v>68841.288814144704</v>
      </c>
      <c r="O61" s="19">
        <f t="shared" si="30"/>
        <v>7867.5758644736798</v>
      </c>
      <c r="P61" s="19">
        <f t="shared" si="31"/>
        <v>10000</v>
      </c>
      <c r="Q61" s="19">
        <f t="shared" si="32"/>
        <v>7200</v>
      </c>
      <c r="R61" s="19">
        <f t="shared" si="33"/>
        <v>16381.801799999999</v>
      </c>
      <c r="S61" s="20">
        <f t="shared" si="34"/>
        <v>690256.97948207147</v>
      </c>
    </row>
    <row r="62" spans="2:19" x14ac:dyDescent="0.2">
      <c r="B62" s="23" t="s">
        <v>74</v>
      </c>
      <c r="C62" s="48">
        <v>5</v>
      </c>
      <c r="D62" s="48">
        <v>12</v>
      </c>
      <c r="E62" s="18">
        <v>1</v>
      </c>
      <c r="F62" s="19">
        <v>32763.603599999995</v>
      </c>
      <c r="G62" s="19">
        <f t="shared" si="22"/>
        <v>393378.79322368401</v>
      </c>
      <c r="H62" s="19">
        <f t="shared" si="23"/>
        <v>5388.7505921052598</v>
      </c>
      <c r="I62" s="19">
        <f t="shared" si="24"/>
        <v>53887.505921052601</v>
      </c>
      <c r="J62" s="19">
        <f t="shared" si="25"/>
        <v>15232.5917763158</v>
      </c>
      <c r="K62" s="19">
        <f t="shared" si="26"/>
        <v>76512.606382053928</v>
      </c>
      <c r="L62" s="19">
        <f t="shared" si="27"/>
        <v>23764.701311530898</v>
      </c>
      <c r="M62" s="19">
        <f t="shared" si="28"/>
        <v>11801.363796710501</v>
      </c>
      <c r="N62" s="19">
        <f t="shared" si="29"/>
        <v>68841.288814144704</v>
      </c>
      <c r="O62" s="19">
        <f t="shared" si="30"/>
        <v>7867.5758644736798</v>
      </c>
      <c r="P62" s="19">
        <f t="shared" si="31"/>
        <v>10000</v>
      </c>
      <c r="Q62" s="19">
        <f t="shared" si="32"/>
        <v>7200</v>
      </c>
      <c r="R62" s="19">
        <f t="shared" si="33"/>
        <v>16381.801799999999</v>
      </c>
      <c r="S62" s="20">
        <f t="shared" si="34"/>
        <v>690256.97948207147</v>
      </c>
    </row>
    <row r="63" spans="2:19" ht="15" customHeight="1" x14ac:dyDescent="0.2">
      <c r="B63" s="23" t="s">
        <v>97</v>
      </c>
      <c r="C63" s="48">
        <v>5</v>
      </c>
      <c r="D63" s="48">
        <v>12</v>
      </c>
      <c r="E63" s="18">
        <v>3</v>
      </c>
      <c r="F63" s="19">
        <v>32763.603599999995</v>
      </c>
      <c r="G63" s="19">
        <f t="shared" si="22"/>
        <v>1180136.3796710521</v>
      </c>
      <c r="H63" s="19">
        <f t="shared" si="23"/>
        <v>16166.251776315779</v>
      </c>
      <c r="I63" s="19">
        <f t="shared" si="24"/>
        <v>161662.51776315781</v>
      </c>
      <c r="J63" s="19">
        <f t="shared" si="25"/>
        <v>45697.775328947399</v>
      </c>
      <c r="K63" s="19">
        <f t="shared" si="26"/>
        <v>229537.81914616178</v>
      </c>
      <c r="L63" s="19">
        <f t="shared" si="27"/>
        <v>71294.103934592698</v>
      </c>
      <c r="M63" s="19">
        <f t="shared" si="28"/>
        <v>35404.0913901315</v>
      </c>
      <c r="N63" s="19">
        <f t="shared" si="29"/>
        <v>206523.86644243411</v>
      </c>
      <c r="O63" s="19">
        <f t="shared" si="30"/>
        <v>23602.727593421041</v>
      </c>
      <c r="P63" s="19">
        <f t="shared" si="31"/>
        <v>30000</v>
      </c>
      <c r="Q63" s="19">
        <f t="shared" si="32"/>
        <v>21600</v>
      </c>
      <c r="R63" s="19">
        <f t="shared" si="33"/>
        <v>49145.405399999996</v>
      </c>
      <c r="S63" s="20">
        <f t="shared" si="34"/>
        <v>2070770.9384462142</v>
      </c>
    </row>
    <row r="64" spans="2:19" x14ac:dyDescent="0.2">
      <c r="B64" s="23" t="s">
        <v>97</v>
      </c>
      <c r="C64" s="57"/>
      <c r="D64" s="48">
        <v>12</v>
      </c>
      <c r="E64" s="18">
        <v>1</v>
      </c>
      <c r="F64" s="19">
        <v>32763.603599999995</v>
      </c>
      <c r="G64" s="19">
        <v>393378.79322368419</v>
      </c>
      <c r="H64" s="19">
        <v>5388.7505921052625</v>
      </c>
      <c r="I64" s="19">
        <v>53887.505921052631</v>
      </c>
      <c r="J64" s="19">
        <v>15232.591776315778</v>
      </c>
      <c r="K64" s="19">
        <f t="shared" si="26"/>
        <v>76512.606382053928</v>
      </c>
      <c r="L64" s="19">
        <v>23764.701311530902</v>
      </c>
      <c r="M64" s="19">
        <v>11801.363796710526</v>
      </c>
      <c r="N64" s="19">
        <v>68841.288814144733</v>
      </c>
      <c r="O64" s="19">
        <v>7867.5758644736843</v>
      </c>
      <c r="P64" s="19">
        <v>10000</v>
      </c>
      <c r="Q64" s="19">
        <v>7200</v>
      </c>
      <c r="R64" s="19">
        <v>16381.801799999997</v>
      </c>
      <c r="S64" s="20">
        <f t="shared" si="34"/>
        <v>690256.97948207159</v>
      </c>
    </row>
    <row r="65" spans="2:19" ht="15" customHeight="1" x14ac:dyDescent="0.2">
      <c r="B65" s="52" t="s">
        <v>102</v>
      </c>
      <c r="C65" s="57"/>
      <c r="D65" s="58">
        <v>12</v>
      </c>
      <c r="E65" s="53">
        <v>1</v>
      </c>
      <c r="F65" s="54">
        <v>32763.603599999995</v>
      </c>
      <c r="G65" s="54">
        <v>393378.79322368419</v>
      </c>
      <c r="H65" s="54">
        <v>6436.8684877498363</v>
      </c>
      <c r="I65" s="54">
        <v>64368.684877498366</v>
      </c>
      <c r="J65" s="54">
        <v>18376.945463249507</v>
      </c>
      <c r="K65" s="54">
        <v>76512.606382053942</v>
      </c>
      <c r="L65" s="54">
        <v>28386.961760131948</v>
      </c>
      <c r="M65" s="54">
        <v>14096.741988172143</v>
      </c>
      <c r="N65" s="54">
        <v>82230.99493100417</v>
      </c>
      <c r="O65" s="54">
        <v>9397.8279921147623</v>
      </c>
      <c r="P65" s="54">
        <v>10000</v>
      </c>
      <c r="Q65" s="54">
        <v>7200</v>
      </c>
      <c r="R65" s="54">
        <v>16381.801799999997</v>
      </c>
      <c r="S65" s="55">
        <v>726768.22690565884</v>
      </c>
    </row>
    <row r="66" spans="2:19" x14ac:dyDescent="0.2">
      <c r="B66" s="17" t="s">
        <v>3</v>
      </c>
      <c r="C66" s="48">
        <v>4</v>
      </c>
      <c r="D66" s="48">
        <v>12</v>
      </c>
      <c r="E66" s="18">
        <v>6</v>
      </c>
      <c r="F66" s="19">
        <v>25199.974800000004</v>
      </c>
      <c r="G66" s="19">
        <f t="shared" ref="G66:G89" si="35">302565.486907895*E66</f>
        <v>1815392.9214473702</v>
      </c>
      <c r="H66" s="19">
        <f t="shared" ref="H66:H89" si="36">4144.73269736842*E66</f>
        <v>24868.39618421052</v>
      </c>
      <c r="I66" s="19">
        <f t="shared" ref="I66:I89" si="37">41447.3269736842*E66</f>
        <v>248683.9618421052</v>
      </c>
      <c r="J66" s="19">
        <f t="shared" ref="J66:J89" si="38">11500.5380921053*E66</f>
        <v>69003.228552631801</v>
      </c>
      <c r="K66" s="19">
        <f t="shared" ref="K66:K90" si="39">E66*F66*7.00657894736842*33.33%</f>
        <v>353095.91269320797</v>
      </c>
      <c r="L66" s="19">
        <f t="shared" ref="L66:L89" si="40">18278.510553708*E66</f>
        <v>109671.06332224801</v>
      </c>
      <c r="M66" s="19">
        <f t="shared" ref="M66:M89" si="41">9076.96460723685*E66</f>
        <v>54461.787643421107</v>
      </c>
      <c r="N66" s="19">
        <f t="shared" ref="N66:N89" si="42">52948.9602088816*E66</f>
        <v>317693.76125328965</v>
      </c>
      <c r="O66" s="19">
        <f t="shared" ref="O66:O89" si="43">6051.3097381579*E66</f>
        <v>36307.858428947402</v>
      </c>
      <c r="P66" s="19">
        <f t="shared" ref="P66:P89" si="44">10000*E66</f>
        <v>60000</v>
      </c>
      <c r="Q66" s="19">
        <f t="shared" ref="Q66:Q89" si="45">7200*E66</f>
        <v>43200</v>
      </c>
      <c r="R66" s="19">
        <f t="shared" ref="R66:R89" si="46">12599.9874*E66</f>
        <v>75599.924400000004</v>
      </c>
      <c r="S66" s="20">
        <f t="shared" ref="S66:S90" si="47">SUM(G66:R66)</f>
        <v>3207978.8157674316</v>
      </c>
    </row>
    <row r="67" spans="2:19" ht="15" customHeight="1" x14ac:dyDescent="0.2">
      <c r="B67" s="23" t="s">
        <v>21</v>
      </c>
      <c r="C67" s="48">
        <v>4</v>
      </c>
      <c r="D67" s="48">
        <v>12</v>
      </c>
      <c r="E67" s="18">
        <v>3</v>
      </c>
      <c r="F67" s="19">
        <v>25199.974800000004</v>
      </c>
      <c r="G67" s="19">
        <f t="shared" si="35"/>
        <v>907696.4607236851</v>
      </c>
      <c r="H67" s="19">
        <f t="shared" si="36"/>
        <v>12434.19809210526</v>
      </c>
      <c r="I67" s="19">
        <f t="shared" si="37"/>
        <v>124341.9809210526</v>
      </c>
      <c r="J67" s="19">
        <f t="shared" si="38"/>
        <v>34501.6142763159</v>
      </c>
      <c r="K67" s="19">
        <f t="shared" si="39"/>
        <v>176547.95634660398</v>
      </c>
      <c r="L67" s="19">
        <f t="shared" si="40"/>
        <v>54835.531661124005</v>
      </c>
      <c r="M67" s="19">
        <f t="shared" si="41"/>
        <v>27230.893821710553</v>
      </c>
      <c r="N67" s="19">
        <f t="shared" si="42"/>
        <v>158846.88062664482</v>
      </c>
      <c r="O67" s="19">
        <f t="shared" si="43"/>
        <v>18153.929214473701</v>
      </c>
      <c r="P67" s="19">
        <f t="shared" si="44"/>
        <v>30000</v>
      </c>
      <c r="Q67" s="19">
        <f t="shared" si="45"/>
        <v>21600</v>
      </c>
      <c r="R67" s="19">
        <f t="shared" si="46"/>
        <v>37799.962200000002</v>
      </c>
      <c r="S67" s="20">
        <f t="shared" si="47"/>
        <v>1603989.4078837158</v>
      </c>
    </row>
    <row r="68" spans="2:19" x14ac:dyDescent="0.2">
      <c r="B68" s="23" t="s">
        <v>22</v>
      </c>
      <c r="C68" s="48">
        <v>4</v>
      </c>
      <c r="D68" s="48">
        <v>12</v>
      </c>
      <c r="E68" s="18">
        <v>1</v>
      </c>
      <c r="F68" s="19">
        <v>25199.974800000004</v>
      </c>
      <c r="G68" s="19">
        <f t="shared" si="35"/>
        <v>302565.48690789501</v>
      </c>
      <c r="H68" s="19">
        <f t="shared" si="36"/>
        <v>4144.7326973684203</v>
      </c>
      <c r="I68" s="19">
        <f t="shared" si="37"/>
        <v>41447.326973684198</v>
      </c>
      <c r="J68" s="19">
        <f t="shared" si="38"/>
        <v>11500.5380921053</v>
      </c>
      <c r="K68" s="19">
        <f t="shared" si="39"/>
        <v>58849.318782201313</v>
      </c>
      <c r="L68" s="19">
        <f t="shared" si="40"/>
        <v>18278.510553708002</v>
      </c>
      <c r="M68" s="19">
        <f t="shared" si="41"/>
        <v>9076.9646072368505</v>
      </c>
      <c r="N68" s="19">
        <f t="shared" si="42"/>
        <v>52948.960208881603</v>
      </c>
      <c r="O68" s="19">
        <f t="shared" si="43"/>
        <v>6051.3097381579</v>
      </c>
      <c r="P68" s="19">
        <f t="shared" si="44"/>
        <v>10000</v>
      </c>
      <c r="Q68" s="19">
        <f t="shared" si="45"/>
        <v>7200</v>
      </c>
      <c r="R68" s="19">
        <f t="shared" si="46"/>
        <v>12599.9874</v>
      </c>
      <c r="S68" s="20">
        <f t="shared" si="47"/>
        <v>534663.13596123864</v>
      </c>
    </row>
    <row r="69" spans="2:19" ht="15" customHeight="1" x14ac:dyDescent="0.2">
      <c r="B69" s="23" t="s">
        <v>23</v>
      </c>
      <c r="C69" s="48">
        <v>4</v>
      </c>
      <c r="D69" s="48">
        <v>12</v>
      </c>
      <c r="E69" s="18">
        <v>2</v>
      </c>
      <c r="F69" s="19">
        <v>25199.974800000004</v>
      </c>
      <c r="G69" s="19">
        <f t="shared" si="35"/>
        <v>605130.97381579003</v>
      </c>
      <c r="H69" s="19">
        <f t="shared" si="36"/>
        <v>8289.4653947368406</v>
      </c>
      <c r="I69" s="19">
        <f t="shared" si="37"/>
        <v>82894.653947368395</v>
      </c>
      <c r="J69" s="19">
        <f t="shared" si="38"/>
        <v>23001.0761842106</v>
      </c>
      <c r="K69" s="19">
        <f t="shared" si="39"/>
        <v>117698.63756440263</v>
      </c>
      <c r="L69" s="19">
        <f t="shared" si="40"/>
        <v>36557.021107416003</v>
      </c>
      <c r="M69" s="19">
        <f t="shared" si="41"/>
        <v>18153.929214473701</v>
      </c>
      <c r="N69" s="19">
        <f t="shared" si="42"/>
        <v>105897.92041776321</v>
      </c>
      <c r="O69" s="19">
        <f t="shared" si="43"/>
        <v>12102.6194763158</v>
      </c>
      <c r="P69" s="19">
        <f t="shared" si="44"/>
        <v>20000</v>
      </c>
      <c r="Q69" s="19">
        <f t="shared" si="45"/>
        <v>14400</v>
      </c>
      <c r="R69" s="19">
        <f t="shared" si="46"/>
        <v>25199.9748</v>
      </c>
      <c r="S69" s="20">
        <f t="shared" si="47"/>
        <v>1069326.2719224773</v>
      </c>
    </row>
    <row r="70" spans="2:19" x14ac:dyDescent="0.2">
      <c r="B70" s="23" t="s">
        <v>24</v>
      </c>
      <c r="C70" s="48">
        <v>4</v>
      </c>
      <c r="D70" s="48">
        <v>12</v>
      </c>
      <c r="E70" s="18">
        <v>1</v>
      </c>
      <c r="F70" s="19">
        <v>25199.974800000004</v>
      </c>
      <c r="G70" s="19">
        <f t="shared" si="35"/>
        <v>302565.48690789501</v>
      </c>
      <c r="H70" s="19">
        <f t="shared" si="36"/>
        <v>4144.7326973684203</v>
      </c>
      <c r="I70" s="19">
        <f t="shared" si="37"/>
        <v>41447.326973684198</v>
      </c>
      <c r="J70" s="19">
        <f t="shared" si="38"/>
        <v>11500.5380921053</v>
      </c>
      <c r="K70" s="19">
        <f t="shared" si="39"/>
        <v>58849.318782201313</v>
      </c>
      <c r="L70" s="19">
        <f t="shared" si="40"/>
        <v>18278.510553708002</v>
      </c>
      <c r="M70" s="19">
        <f t="shared" si="41"/>
        <v>9076.9646072368505</v>
      </c>
      <c r="N70" s="19">
        <f t="shared" si="42"/>
        <v>52948.960208881603</v>
      </c>
      <c r="O70" s="19">
        <f t="shared" si="43"/>
        <v>6051.3097381579</v>
      </c>
      <c r="P70" s="19">
        <f t="shared" si="44"/>
        <v>10000</v>
      </c>
      <c r="Q70" s="19">
        <f t="shared" si="45"/>
        <v>7200</v>
      </c>
      <c r="R70" s="19">
        <f t="shared" si="46"/>
        <v>12599.9874</v>
      </c>
      <c r="S70" s="20">
        <f t="shared" si="47"/>
        <v>534663.13596123864</v>
      </c>
    </row>
    <row r="71" spans="2:19" ht="15" customHeight="1" x14ac:dyDescent="0.2">
      <c r="B71" s="23" t="s">
        <v>25</v>
      </c>
      <c r="C71" s="48">
        <v>4</v>
      </c>
      <c r="D71" s="48">
        <v>12</v>
      </c>
      <c r="E71" s="18">
        <v>1</v>
      </c>
      <c r="F71" s="19">
        <v>25199.974800000004</v>
      </c>
      <c r="G71" s="19">
        <f t="shared" si="35"/>
        <v>302565.48690789501</v>
      </c>
      <c r="H71" s="19">
        <f t="shared" si="36"/>
        <v>4144.7326973684203</v>
      </c>
      <c r="I71" s="19">
        <f t="shared" si="37"/>
        <v>41447.326973684198</v>
      </c>
      <c r="J71" s="19">
        <f t="shared" si="38"/>
        <v>11500.5380921053</v>
      </c>
      <c r="K71" s="19">
        <f t="shared" si="39"/>
        <v>58849.318782201313</v>
      </c>
      <c r="L71" s="19">
        <f t="shared" si="40"/>
        <v>18278.510553708002</v>
      </c>
      <c r="M71" s="19">
        <f t="shared" si="41"/>
        <v>9076.9646072368505</v>
      </c>
      <c r="N71" s="19">
        <f t="shared" si="42"/>
        <v>52948.960208881603</v>
      </c>
      <c r="O71" s="19">
        <f t="shared" si="43"/>
        <v>6051.3097381579</v>
      </c>
      <c r="P71" s="19">
        <f t="shared" si="44"/>
        <v>10000</v>
      </c>
      <c r="Q71" s="19">
        <f t="shared" si="45"/>
        <v>7200</v>
      </c>
      <c r="R71" s="19">
        <f t="shared" si="46"/>
        <v>12599.9874</v>
      </c>
      <c r="S71" s="20">
        <f t="shared" si="47"/>
        <v>534663.13596123864</v>
      </c>
    </row>
    <row r="72" spans="2:19" x14ac:dyDescent="0.2">
      <c r="B72" s="23" t="s">
        <v>26</v>
      </c>
      <c r="C72" s="48">
        <v>4</v>
      </c>
      <c r="D72" s="48">
        <v>12</v>
      </c>
      <c r="E72" s="18">
        <v>1</v>
      </c>
      <c r="F72" s="19">
        <v>25199.974800000004</v>
      </c>
      <c r="G72" s="19">
        <f t="shared" si="35"/>
        <v>302565.48690789501</v>
      </c>
      <c r="H72" s="19">
        <f t="shared" si="36"/>
        <v>4144.7326973684203</v>
      </c>
      <c r="I72" s="19">
        <f t="shared" si="37"/>
        <v>41447.326973684198</v>
      </c>
      <c r="J72" s="19">
        <f t="shared" si="38"/>
        <v>11500.5380921053</v>
      </c>
      <c r="K72" s="19">
        <f t="shared" si="39"/>
        <v>58849.318782201313</v>
      </c>
      <c r="L72" s="19">
        <f t="shared" si="40"/>
        <v>18278.510553708002</v>
      </c>
      <c r="M72" s="19">
        <f t="shared" si="41"/>
        <v>9076.9646072368505</v>
      </c>
      <c r="N72" s="19">
        <f t="shared" si="42"/>
        <v>52948.960208881603</v>
      </c>
      <c r="O72" s="19">
        <f t="shared" si="43"/>
        <v>6051.3097381579</v>
      </c>
      <c r="P72" s="19">
        <f t="shared" si="44"/>
        <v>10000</v>
      </c>
      <c r="Q72" s="19">
        <f t="shared" si="45"/>
        <v>7200</v>
      </c>
      <c r="R72" s="19">
        <f t="shared" si="46"/>
        <v>12599.9874</v>
      </c>
      <c r="S72" s="20">
        <f t="shared" si="47"/>
        <v>534663.13596123864</v>
      </c>
    </row>
    <row r="73" spans="2:19" ht="15" customHeight="1" x14ac:dyDescent="0.2">
      <c r="B73" s="23" t="s">
        <v>34</v>
      </c>
      <c r="C73" s="48">
        <v>4</v>
      </c>
      <c r="D73" s="48">
        <v>12</v>
      </c>
      <c r="E73" s="18">
        <v>1</v>
      </c>
      <c r="F73" s="19">
        <v>25199.974800000004</v>
      </c>
      <c r="G73" s="19">
        <f t="shared" si="35"/>
        <v>302565.48690789501</v>
      </c>
      <c r="H73" s="19">
        <f t="shared" si="36"/>
        <v>4144.7326973684203</v>
      </c>
      <c r="I73" s="19">
        <f t="shared" si="37"/>
        <v>41447.326973684198</v>
      </c>
      <c r="J73" s="19">
        <f t="shared" si="38"/>
        <v>11500.5380921053</v>
      </c>
      <c r="K73" s="19">
        <f t="shared" si="39"/>
        <v>58849.318782201313</v>
      </c>
      <c r="L73" s="19">
        <f t="shared" si="40"/>
        <v>18278.510553708002</v>
      </c>
      <c r="M73" s="19">
        <f t="shared" si="41"/>
        <v>9076.9646072368505</v>
      </c>
      <c r="N73" s="19">
        <f t="shared" si="42"/>
        <v>52948.960208881603</v>
      </c>
      <c r="O73" s="19">
        <f t="shared" si="43"/>
        <v>6051.3097381579</v>
      </c>
      <c r="P73" s="19">
        <f t="shared" si="44"/>
        <v>10000</v>
      </c>
      <c r="Q73" s="19">
        <f t="shared" si="45"/>
        <v>7200</v>
      </c>
      <c r="R73" s="19">
        <f t="shared" si="46"/>
        <v>12599.9874</v>
      </c>
      <c r="S73" s="20">
        <f t="shared" si="47"/>
        <v>534663.13596123864</v>
      </c>
    </row>
    <row r="74" spans="2:19" x14ac:dyDescent="0.2">
      <c r="B74" s="23" t="s">
        <v>35</v>
      </c>
      <c r="C74" s="48">
        <v>4</v>
      </c>
      <c r="D74" s="48">
        <v>12</v>
      </c>
      <c r="E74" s="18">
        <v>2</v>
      </c>
      <c r="F74" s="19">
        <v>25199.974800000004</v>
      </c>
      <c r="G74" s="19">
        <f t="shared" si="35"/>
        <v>605130.97381579003</v>
      </c>
      <c r="H74" s="19">
        <f t="shared" si="36"/>
        <v>8289.4653947368406</v>
      </c>
      <c r="I74" s="19">
        <f t="shared" si="37"/>
        <v>82894.653947368395</v>
      </c>
      <c r="J74" s="19">
        <f t="shared" si="38"/>
        <v>23001.0761842106</v>
      </c>
      <c r="K74" s="19">
        <f t="shared" si="39"/>
        <v>117698.63756440263</v>
      </c>
      <c r="L74" s="19">
        <f t="shared" si="40"/>
        <v>36557.021107416003</v>
      </c>
      <c r="M74" s="19">
        <f t="shared" si="41"/>
        <v>18153.929214473701</v>
      </c>
      <c r="N74" s="19">
        <f t="shared" si="42"/>
        <v>105897.92041776321</v>
      </c>
      <c r="O74" s="19">
        <f t="shared" si="43"/>
        <v>12102.6194763158</v>
      </c>
      <c r="P74" s="19">
        <f t="shared" si="44"/>
        <v>20000</v>
      </c>
      <c r="Q74" s="19">
        <f t="shared" si="45"/>
        <v>14400</v>
      </c>
      <c r="R74" s="19">
        <f t="shared" si="46"/>
        <v>25199.9748</v>
      </c>
      <c r="S74" s="20">
        <f t="shared" si="47"/>
        <v>1069326.2719224773</v>
      </c>
    </row>
    <row r="75" spans="2:19" ht="15" customHeight="1" x14ac:dyDescent="0.2">
      <c r="B75" s="23" t="s">
        <v>44</v>
      </c>
      <c r="C75" s="48">
        <v>4</v>
      </c>
      <c r="D75" s="48">
        <v>12</v>
      </c>
      <c r="E75" s="18">
        <v>4</v>
      </c>
      <c r="F75" s="19">
        <v>25199.974800000004</v>
      </c>
      <c r="G75" s="19">
        <f t="shared" si="35"/>
        <v>1210261.9476315801</v>
      </c>
      <c r="H75" s="19">
        <f t="shared" si="36"/>
        <v>16578.930789473681</v>
      </c>
      <c r="I75" s="19">
        <f t="shared" si="37"/>
        <v>165789.30789473679</v>
      </c>
      <c r="J75" s="19">
        <f t="shared" si="38"/>
        <v>46002.152368421201</v>
      </c>
      <c r="K75" s="19">
        <f t="shared" si="39"/>
        <v>235397.27512880525</v>
      </c>
      <c r="L75" s="19">
        <f t="shared" si="40"/>
        <v>73114.042214832007</v>
      </c>
      <c r="M75" s="19">
        <f t="shared" si="41"/>
        <v>36307.858428947402</v>
      </c>
      <c r="N75" s="19">
        <f t="shared" si="42"/>
        <v>211795.84083552641</v>
      </c>
      <c r="O75" s="19">
        <f t="shared" si="43"/>
        <v>24205.2389526316</v>
      </c>
      <c r="P75" s="19">
        <f t="shared" si="44"/>
        <v>40000</v>
      </c>
      <c r="Q75" s="19">
        <f t="shared" si="45"/>
        <v>28800</v>
      </c>
      <c r="R75" s="19">
        <f t="shared" si="46"/>
        <v>50399.9496</v>
      </c>
      <c r="S75" s="20">
        <f t="shared" si="47"/>
        <v>2138652.5438449546</v>
      </c>
    </row>
    <row r="76" spans="2:19" x14ac:dyDescent="0.2">
      <c r="B76" s="23" t="s">
        <v>45</v>
      </c>
      <c r="C76" s="48">
        <v>4</v>
      </c>
      <c r="D76" s="48">
        <v>12</v>
      </c>
      <c r="E76" s="18">
        <v>4</v>
      </c>
      <c r="F76" s="19">
        <v>25199.974800000004</v>
      </c>
      <c r="G76" s="19">
        <f t="shared" si="35"/>
        <v>1210261.9476315801</v>
      </c>
      <c r="H76" s="19">
        <f t="shared" si="36"/>
        <v>16578.930789473681</v>
      </c>
      <c r="I76" s="19">
        <f t="shared" si="37"/>
        <v>165789.30789473679</v>
      </c>
      <c r="J76" s="19">
        <f t="shared" si="38"/>
        <v>46002.152368421201</v>
      </c>
      <c r="K76" s="19">
        <f t="shared" si="39"/>
        <v>235397.27512880525</v>
      </c>
      <c r="L76" s="19">
        <f t="shared" si="40"/>
        <v>73114.042214832007</v>
      </c>
      <c r="M76" s="19">
        <f t="shared" si="41"/>
        <v>36307.858428947402</v>
      </c>
      <c r="N76" s="19">
        <f t="shared" si="42"/>
        <v>211795.84083552641</v>
      </c>
      <c r="O76" s="19">
        <f t="shared" si="43"/>
        <v>24205.2389526316</v>
      </c>
      <c r="P76" s="19">
        <f t="shared" si="44"/>
        <v>40000</v>
      </c>
      <c r="Q76" s="19">
        <f t="shared" si="45"/>
        <v>28800</v>
      </c>
      <c r="R76" s="19">
        <f t="shared" si="46"/>
        <v>50399.9496</v>
      </c>
      <c r="S76" s="20">
        <f t="shared" si="47"/>
        <v>2138652.5438449546</v>
      </c>
    </row>
    <row r="77" spans="2:19" ht="15" customHeight="1" x14ac:dyDescent="0.2">
      <c r="B77" s="23" t="s">
        <v>56</v>
      </c>
      <c r="C77" s="48">
        <v>4</v>
      </c>
      <c r="D77" s="48">
        <v>12</v>
      </c>
      <c r="E77" s="18">
        <v>2</v>
      </c>
      <c r="F77" s="19">
        <v>25199.974800000004</v>
      </c>
      <c r="G77" s="19">
        <f t="shared" si="35"/>
        <v>605130.97381579003</v>
      </c>
      <c r="H77" s="19">
        <f t="shared" si="36"/>
        <v>8289.4653947368406</v>
      </c>
      <c r="I77" s="19">
        <f t="shared" si="37"/>
        <v>82894.653947368395</v>
      </c>
      <c r="J77" s="19">
        <f t="shared" si="38"/>
        <v>23001.0761842106</v>
      </c>
      <c r="K77" s="19">
        <f t="shared" si="39"/>
        <v>117698.63756440263</v>
      </c>
      <c r="L77" s="19">
        <f t="shared" si="40"/>
        <v>36557.021107416003</v>
      </c>
      <c r="M77" s="19">
        <f t="shared" si="41"/>
        <v>18153.929214473701</v>
      </c>
      <c r="N77" s="19">
        <f t="shared" si="42"/>
        <v>105897.92041776321</v>
      </c>
      <c r="O77" s="19">
        <f t="shared" si="43"/>
        <v>12102.6194763158</v>
      </c>
      <c r="P77" s="19">
        <f t="shared" si="44"/>
        <v>20000</v>
      </c>
      <c r="Q77" s="19">
        <f t="shared" si="45"/>
        <v>14400</v>
      </c>
      <c r="R77" s="19">
        <f t="shared" si="46"/>
        <v>25199.9748</v>
      </c>
      <c r="S77" s="20">
        <f t="shared" si="47"/>
        <v>1069326.2719224773</v>
      </c>
    </row>
    <row r="78" spans="2:19" x14ac:dyDescent="0.2">
      <c r="B78" s="23" t="s">
        <v>57</v>
      </c>
      <c r="C78" s="48">
        <v>4</v>
      </c>
      <c r="D78" s="48">
        <v>12</v>
      </c>
      <c r="E78" s="18">
        <v>2</v>
      </c>
      <c r="F78" s="19">
        <v>25199.974800000004</v>
      </c>
      <c r="G78" s="19">
        <f t="shared" si="35"/>
        <v>605130.97381579003</v>
      </c>
      <c r="H78" s="19">
        <f t="shared" si="36"/>
        <v>8289.4653947368406</v>
      </c>
      <c r="I78" s="19">
        <f t="shared" si="37"/>
        <v>82894.653947368395</v>
      </c>
      <c r="J78" s="19">
        <f t="shared" si="38"/>
        <v>23001.0761842106</v>
      </c>
      <c r="K78" s="19">
        <f t="shared" si="39"/>
        <v>117698.63756440263</v>
      </c>
      <c r="L78" s="19">
        <f t="shared" si="40"/>
        <v>36557.021107416003</v>
      </c>
      <c r="M78" s="19">
        <f t="shared" si="41"/>
        <v>18153.929214473701</v>
      </c>
      <c r="N78" s="19">
        <f t="shared" si="42"/>
        <v>105897.92041776321</v>
      </c>
      <c r="O78" s="19">
        <f t="shared" si="43"/>
        <v>12102.6194763158</v>
      </c>
      <c r="P78" s="19">
        <f t="shared" si="44"/>
        <v>20000</v>
      </c>
      <c r="Q78" s="19">
        <f t="shared" si="45"/>
        <v>14400</v>
      </c>
      <c r="R78" s="19">
        <f t="shared" si="46"/>
        <v>25199.9748</v>
      </c>
      <c r="S78" s="20">
        <f t="shared" si="47"/>
        <v>1069326.2719224773</v>
      </c>
    </row>
    <row r="79" spans="2:19" ht="15" customHeight="1" x14ac:dyDescent="0.2">
      <c r="B79" s="23" t="s">
        <v>58</v>
      </c>
      <c r="C79" s="48">
        <v>4</v>
      </c>
      <c r="D79" s="48">
        <v>12</v>
      </c>
      <c r="E79" s="18">
        <v>1</v>
      </c>
      <c r="F79" s="19">
        <v>25199.974800000004</v>
      </c>
      <c r="G79" s="19">
        <f t="shared" si="35"/>
        <v>302565.48690789501</v>
      </c>
      <c r="H79" s="19">
        <f t="shared" si="36"/>
        <v>4144.7326973684203</v>
      </c>
      <c r="I79" s="19">
        <f t="shared" si="37"/>
        <v>41447.326973684198</v>
      </c>
      <c r="J79" s="19">
        <f t="shared" si="38"/>
        <v>11500.5380921053</v>
      </c>
      <c r="K79" s="19">
        <f t="shared" si="39"/>
        <v>58849.318782201313</v>
      </c>
      <c r="L79" s="19">
        <f t="shared" si="40"/>
        <v>18278.510553708002</v>
      </c>
      <c r="M79" s="19">
        <f t="shared" si="41"/>
        <v>9076.9646072368505</v>
      </c>
      <c r="N79" s="19">
        <f t="shared" si="42"/>
        <v>52948.960208881603</v>
      </c>
      <c r="O79" s="19">
        <f t="shared" si="43"/>
        <v>6051.3097381579</v>
      </c>
      <c r="P79" s="19">
        <f t="shared" si="44"/>
        <v>10000</v>
      </c>
      <c r="Q79" s="19">
        <f t="shared" si="45"/>
        <v>7200</v>
      </c>
      <c r="R79" s="19">
        <f t="shared" si="46"/>
        <v>12599.9874</v>
      </c>
      <c r="S79" s="20">
        <f t="shared" si="47"/>
        <v>534663.13596123864</v>
      </c>
    </row>
    <row r="80" spans="2:19" x14ac:dyDescent="0.2">
      <c r="B80" s="23" t="s">
        <v>59</v>
      </c>
      <c r="C80" s="48">
        <v>4</v>
      </c>
      <c r="D80" s="48">
        <v>12</v>
      </c>
      <c r="E80" s="18">
        <v>2</v>
      </c>
      <c r="F80" s="19">
        <v>25199.974800000004</v>
      </c>
      <c r="G80" s="19">
        <f t="shared" si="35"/>
        <v>605130.97381579003</v>
      </c>
      <c r="H80" s="19">
        <f t="shared" si="36"/>
        <v>8289.4653947368406</v>
      </c>
      <c r="I80" s="19">
        <f t="shared" si="37"/>
        <v>82894.653947368395</v>
      </c>
      <c r="J80" s="19">
        <f t="shared" si="38"/>
        <v>23001.0761842106</v>
      </c>
      <c r="K80" s="19">
        <f t="shared" si="39"/>
        <v>117698.63756440263</v>
      </c>
      <c r="L80" s="19">
        <f t="shared" si="40"/>
        <v>36557.021107416003</v>
      </c>
      <c r="M80" s="19">
        <f t="shared" si="41"/>
        <v>18153.929214473701</v>
      </c>
      <c r="N80" s="19">
        <f t="shared" si="42"/>
        <v>105897.92041776321</v>
      </c>
      <c r="O80" s="19">
        <f t="shared" si="43"/>
        <v>12102.6194763158</v>
      </c>
      <c r="P80" s="19">
        <f t="shared" si="44"/>
        <v>20000</v>
      </c>
      <c r="Q80" s="19">
        <f t="shared" si="45"/>
        <v>14400</v>
      </c>
      <c r="R80" s="19">
        <f t="shared" si="46"/>
        <v>25199.9748</v>
      </c>
      <c r="S80" s="20">
        <f t="shared" si="47"/>
        <v>1069326.2719224773</v>
      </c>
    </row>
    <row r="81" spans="2:19" ht="15" customHeight="1" x14ac:dyDescent="0.2">
      <c r="B81" s="23" t="s">
        <v>60</v>
      </c>
      <c r="C81" s="48">
        <v>4</v>
      </c>
      <c r="D81" s="48">
        <v>12</v>
      </c>
      <c r="E81" s="18">
        <v>1</v>
      </c>
      <c r="F81" s="19">
        <v>25199.974800000004</v>
      </c>
      <c r="G81" s="19">
        <f t="shared" si="35"/>
        <v>302565.48690789501</v>
      </c>
      <c r="H81" s="19">
        <f t="shared" si="36"/>
        <v>4144.7326973684203</v>
      </c>
      <c r="I81" s="19">
        <f t="shared" si="37"/>
        <v>41447.326973684198</v>
      </c>
      <c r="J81" s="19">
        <f t="shared" si="38"/>
        <v>11500.5380921053</v>
      </c>
      <c r="K81" s="19">
        <f t="shared" si="39"/>
        <v>58849.318782201313</v>
      </c>
      <c r="L81" s="19">
        <f t="shared" si="40"/>
        <v>18278.510553708002</v>
      </c>
      <c r="M81" s="19">
        <f t="shared" si="41"/>
        <v>9076.9646072368505</v>
      </c>
      <c r="N81" s="19">
        <f t="shared" si="42"/>
        <v>52948.960208881603</v>
      </c>
      <c r="O81" s="19">
        <f t="shared" si="43"/>
        <v>6051.3097381579</v>
      </c>
      <c r="P81" s="19">
        <f t="shared" si="44"/>
        <v>10000</v>
      </c>
      <c r="Q81" s="19">
        <f t="shared" si="45"/>
        <v>7200</v>
      </c>
      <c r="R81" s="19">
        <f t="shared" si="46"/>
        <v>12599.9874</v>
      </c>
      <c r="S81" s="20">
        <f t="shared" si="47"/>
        <v>534663.13596123864</v>
      </c>
    </row>
    <row r="82" spans="2:19" x14ac:dyDescent="0.2">
      <c r="B82" s="23" t="s">
        <v>61</v>
      </c>
      <c r="C82" s="48">
        <v>4</v>
      </c>
      <c r="D82" s="48">
        <v>12</v>
      </c>
      <c r="E82" s="18">
        <v>1</v>
      </c>
      <c r="F82" s="19">
        <v>25199.974800000004</v>
      </c>
      <c r="G82" s="19">
        <f t="shared" si="35"/>
        <v>302565.48690789501</v>
      </c>
      <c r="H82" s="19">
        <f t="shared" si="36"/>
        <v>4144.7326973684203</v>
      </c>
      <c r="I82" s="19">
        <f t="shared" si="37"/>
        <v>41447.326973684198</v>
      </c>
      <c r="J82" s="19">
        <f t="shared" si="38"/>
        <v>11500.5380921053</v>
      </c>
      <c r="K82" s="19">
        <f t="shared" si="39"/>
        <v>58849.318782201313</v>
      </c>
      <c r="L82" s="19">
        <f t="shared" si="40"/>
        <v>18278.510553708002</v>
      </c>
      <c r="M82" s="19">
        <f t="shared" si="41"/>
        <v>9076.9646072368505</v>
      </c>
      <c r="N82" s="19">
        <f t="shared" si="42"/>
        <v>52948.960208881603</v>
      </c>
      <c r="O82" s="19">
        <f t="shared" si="43"/>
        <v>6051.3097381579</v>
      </c>
      <c r="P82" s="19">
        <f t="shared" si="44"/>
        <v>10000</v>
      </c>
      <c r="Q82" s="19">
        <f t="shared" si="45"/>
        <v>7200</v>
      </c>
      <c r="R82" s="19">
        <f t="shared" si="46"/>
        <v>12599.9874</v>
      </c>
      <c r="S82" s="20">
        <f t="shared" si="47"/>
        <v>534663.13596123864</v>
      </c>
    </row>
    <row r="83" spans="2:19" ht="15" customHeight="1" x14ac:dyDescent="0.2">
      <c r="B83" s="23" t="s">
        <v>68</v>
      </c>
      <c r="C83" s="48">
        <v>4</v>
      </c>
      <c r="D83" s="48">
        <v>12</v>
      </c>
      <c r="E83" s="18">
        <v>1</v>
      </c>
      <c r="F83" s="19">
        <v>25199.974800000004</v>
      </c>
      <c r="G83" s="19">
        <f t="shared" si="35"/>
        <v>302565.48690789501</v>
      </c>
      <c r="H83" s="19">
        <f t="shared" si="36"/>
        <v>4144.7326973684203</v>
      </c>
      <c r="I83" s="19">
        <f t="shared" si="37"/>
        <v>41447.326973684198</v>
      </c>
      <c r="J83" s="19">
        <f t="shared" si="38"/>
        <v>11500.5380921053</v>
      </c>
      <c r="K83" s="19">
        <f t="shared" si="39"/>
        <v>58849.318782201313</v>
      </c>
      <c r="L83" s="19">
        <f t="shared" si="40"/>
        <v>18278.510553708002</v>
      </c>
      <c r="M83" s="19">
        <f t="shared" si="41"/>
        <v>9076.9646072368505</v>
      </c>
      <c r="N83" s="19">
        <f t="shared" si="42"/>
        <v>52948.960208881603</v>
      </c>
      <c r="O83" s="19">
        <f t="shared" si="43"/>
        <v>6051.3097381579</v>
      </c>
      <c r="P83" s="19">
        <f t="shared" si="44"/>
        <v>10000</v>
      </c>
      <c r="Q83" s="19">
        <f t="shared" si="45"/>
        <v>7200</v>
      </c>
      <c r="R83" s="19">
        <f t="shared" si="46"/>
        <v>12599.9874</v>
      </c>
      <c r="S83" s="20">
        <f t="shared" si="47"/>
        <v>534663.13596123864</v>
      </c>
    </row>
    <row r="84" spans="2:19" x14ac:dyDescent="0.2">
      <c r="B84" s="23" t="s">
        <v>69</v>
      </c>
      <c r="C84" s="48">
        <v>4</v>
      </c>
      <c r="D84" s="48">
        <v>12</v>
      </c>
      <c r="E84" s="18">
        <v>1</v>
      </c>
      <c r="F84" s="19">
        <v>25199.974800000004</v>
      </c>
      <c r="G84" s="19">
        <f t="shared" si="35"/>
        <v>302565.48690789501</v>
      </c>
      <c r="H84" s="19">
        <f t="shared" si="36"/>
        <v>4144.7326973684203</v>
      </c>
      <c r="I84" s="19">
        <f t="shared" si="37"/>
        <v>41447.326973684198</v>
      </c>
      <c r="J84" s="19">
        <f t="shared" si="38"/>
        <v>11500.5380921053</v>
      </c>
      <c r="K84" s="19">
        <f t="shared" si="39"/>
        <v>58849.318782201313</v>
      </c>
      <c r="L84" s="19">
        <f t="shared" si="40"/>
        <v>18278.510553708002</v>
      </c>
      <c r="M84" s="19">
        <f t="shared" si="41"/>
        <v>9076.9646072368505</v>
      </c>
      <c r="N84" s="19">
        <f t="shared" si="42"/>
        <v>52948.960208881603</v>
      </c>
      <c r="O84" s="19">
        <f t="shared" si="43"/>
        <v>6051.3097381579</v>
      </c>
      <c r="P84" s="19">
        <f t="shared" si="44"/>
        <v>10000</v>
      </c>
      <c r="Q84" s="19">
        <f t="shared" si="45"/>
        <v>7200</v>
      </c>
      <c r="R84" s="19">
        <f t="shared" si="46"/>
        <v>12599.9874</v>
      </c>
      <c r="S84" s="20">
        <f t="shared" si="47"/>
        <v>534663.13596123864</v>
      </c>
    </row>
    <row r="85" spans="2:19" ht="15" customHeight="1" x14ac:dyDescent="0.2">
      <c r="B85" s="23" t="s">
        <v>70</v>
      </c>
      <c r="C85" s="48">
        <v>4</v>
      </c>
      <c r="D85" s="48">
        <v>12</v>
      </c>
      <c r="E85" s="18">
        <v>1</v>
      </c>
      <c r="F85" s="19">
        <v>25199.974800000004</v>
      </c>
      <c r="G85" s="19">
        <f t="shared" si="35"/>
        <v>302565.48690789501</v>
      </c>
      <c r="H85" s="19">
        <f t="shared" si="36"/>
        <v>4144.7326973684203</v>
      </c>
      <c r="I85" s="19">
        <f t="shared" si="37"/>
        <v>41447.326973684198</v>
      </c>
      <c r="J85" s="19">
        <f t="shared" si="38"/>
        <v>11500.5380921053</v>
      </c>
      <c r="K85" s="19">
        <f t="shared" si="39"/>
        <v>58849.318782201313</v>
      </c>
      <c r="L85" s="19">
        <f t="shared" si="40"/>
        <v>18278.510553708002</v>
      </c>
      <c r="M85" s="19">
        <f t="shared" si="41"/>
        <v>9076.9646072368505</v>
      </c>
      <c r="N85" s="19">
        <f t="shared" si="42"/>
        <v>52948.960208881603</v>
      </c>
      <c r="O85" s="19">
        <f t="shared" si="43"/>
        <v>6051.3097381579</v>
      </c>
      <c r="P85" s="19">
        <f t="shared" si="44"/>
        <v>10000</v>
      </c>
      <c r="Q85" s="19">
        <f t="shared" si="45"/>
        <v>7200</v>
      </c>
      <c r="R85" s="19">
        <f t="shared" si="46"/>
        <v>12599.9874</v>
      </c>
      <c r="S85" s="20">
        <f t="shared" si="47"/>
        <v>534663.13596123864</v>
      </c>
    </row>
    <row r="86" spans="2:19" x14ac:dyDescent="0.2">
      <c r="B86" s="23" t="s">
        <v>71</v>
      </c>
      <c r="C86" s="48">
        <v>4</v>
      </c>
      <c r="D86" s="48">
        <v>12</v>
      </c>
      <c r="E86" s="18">
        <v>1</v>
      </c>
      <c r="F86" s="19">
        <v>25199.974800000004</v>
      </c>
      <c r="G86" s="19">
        <f t="shared" si="35"/>
        <v>302565.48690789501</v>
      </c>
      <c r="H86" s="19">
        <f t="shared" si="36"/>
        <v>4144.7326973684203</v>
      </c>
      <c r="I86" s="19">
        <f t="shared" si="37"/>
        <v>41447.326973684198</v>
      </c>
      <c r="J86" s="19">
        <f t="shared" si="38"/>
        <v>11500.5380921053</v>
      </c>
      <c r="K86" s="19">
        <f t="shared" si="39"/>
        <v>58849.318782201313</v>
      </c>
      <c r="L86" s="19">
        <f t="shared" si="40"/>
        <v>18278.510553708002</v>
      </c>
      <c r="M86" s="19">
        <f t="shared" si="41"/>
        <v>9076.9646072368505</v>
      </c>
      <c r="N86" s="19">
        <f t="shared" si="42"/>
        <v>52948.960208881603</v>
      </c>
      <c r="O86" s="19">
        <f t="shared" si="43"/>
        <v>6051.3097381579</v>
      </c>
      <c r="P86" s="19">
        <f t="shared" si="44"/>
        <v>10000</v>
      </c>
      <c r="Q86" s="19">
        <f t="shared" si="45"/>
        <v>7200</v>
      </c>
      <c r="R86" s="19">
        <f t="shared" si="46"/>
        <v>12599.9874</v>
      </c>
      <c r="S86" s="20">
        <f t="shared" si="47"/>
        <v>534663.13596123864</v>
      </c>
    </row>
    <row r="87" spans="2:19" ht="15" customHeight="1" x14ac:dyDescent="0.2">
      <c r="B87" s="23" t="s">
        <v>75</v>
      </c>
      <c r="C87" s="48">
        <v>4</v>
      </c>
      <c r="D87" s="48">
        <v>12</v>
      </c>
      <c r="E87" s="18">
        <v>1</v>
      </c>
      <c r="F87" s="19">
        <v>25199.974800000004</v>
      </c>
      <c r="G87" s="19">
        <f t="shared" si="35"/>
        <v>302565.48690789501</v>
      </c>
      <c r="H87" s="19">
        <f t="shared" si="36"/>
        <v>4144.7326973684203</v>
      </c>
      <c r="I87" s="19">
        <f t="shared" si="37"/>
        <v>41447.326973684198</v>
      </c>
      <c r="J87" s="19">
        <f t="shared" si="38"/>
        <v>11500.5380921053</v>
      </c>
      <c r="K87" s="19">
        <f t="shared" si="39"/>
        <v>58849.318782201313</v>
      </c>
      <c r="L87" s="19">
        <f t="shared" si="40"/>
        <v>18278.510553708002</v>
      </c>
      <c r="M87" s="19">
        <f t="shared" si="41"/>
        <v>9076.9646072368505</v>
      </c>
      <c r="N87" s="19">
        <f t="shared" si="42"/>
        <v>52948.960208881603</v>
      </c>
      <c r="O87" s="19">
        <f t="shared" si="43"/>
        <v>6051.3097381579</v>
      </c>
      <c r="P87" s="19">
        <f t="shared" si="44"/>
        <v>10000</v>
      </c>
      <c r="Q87" s="19">
        <f t="shared" si="45"/>
        <v>7200</v>
      </c>
      <c r="R87" s="19">
        <f t="shared" si="46"/>
        <v>12599.9874</v>
      </c>
      <c r="S87" s="20">
        <f t="shared" si="47"/>
        <v>534663.13596123864</v>
      </c>
    </row>
    <row r="88" spans="2:19" x14ac:dyDescent="0.2">
      <c r="B88" s="23" t="s">
        <v>76</v>
      </c>
      <c r="C88" s="48">
        <v>4</v>
      </c>
      <c r="D88" s="48">
        <v>12</v>
      </c>
      <c r="E88" s="18">
        <v>1</v>
      </c>
      <c r="F88" s="19">
        <v>25199.974800000004</v>
      </c>
      <c r="G88" s="19">
        <f t="shared" si="35"/>
        <v>302565.48690789501</v>
      </c>
      <c r="H88" s="19">
        <f t="shared" si="36"/>
        <v>4144.7326973684203</v>
      </c>
      <c r="I88" s="19">
        <f t="shared" si="37"/>
        <v>41447.326973684198</v>
      </c>
      <c r="J88" s="19">
        <f t="shared" si="38"/>
        <v>11500.5380921053</v>
      </c>
      <c r="K88" s="19">
        <f t="shared" si="39"/>
        <v>58849.318782201313</v>
      </c>
      <c r="L88" s="19">
        <f t="shared" si="40"/>
        <v>18278.510553708002</v>
      </c>
      <c r="M88" s="19">
        <f t="shared" si="41"/>
        <v>9076.9646072368505</v>
      </c>
      <c r="N88" s="19">
        <f t="shared" si="42"/>
        <v>52948.960208881603</v>
      </c>
      <c r="O88" s="19">
        <f t="shared" si="43"/>
        <v>6051.3097381579</v>
      </c>
      <c r="P88" s="19">
        <f t="shared" si="44"/>
        <v>10000</v>
      </c>
      <c r="Q88" s="19">
        <f t="shared" si="45"/>
        <v>7200</v>
      </c>
      <c r="R88" s="19">
        <f t="shared" si="46"/>
        <v>12599.9874</v>
      </c>
      <c r="S88" s="20">
        <f t="shared" si="47"/>
        <v>534663.13596123864</v>
      </c>
    </row>
    <row r="89" spans="2:19" ht="15" customHeight="1" x14ac:dyDescent="0.2">
      <c r="B89" s="23" t="s">
        <v>77</v>
      </c>
      <c r="C89" s="48">
        <v>4</v>
      </c>
      <c r="D89" s="48">
        <v>12</v>
      </c>
      <c r="E89" s="18">
        <v>2</v>
      </c>
      <c r="F89" s="19">
        <v>25199.974800000004</v>
      </c>
      <c r="G89" s="19">
        <f t="shared" si="35"/>
        <v>605130.97381579003</v>
      </c>
      <c r="H89" s="19">
        <f t="shared" si="36"/>
        <v>8289.4653947368406</v>
      </c>
      <c r="I89" s="19">
        <f t="shared" si="37"/>
        <v>82894.653947368395</v>
      </c>
      <c r="J89" s="19">
        <f t="shared" si="38"/>
        <v>23001.0761842106</v>
      </c>
      <c r="K89" s="19">
        <f t="shared" si="39"/>
        <v>117698.63756440263</v>
      </c>
      <c r="L89" s="19">
        <f t="shared" si="40"/>
        <v>36557.021107416003</v>
      </c>
      <c r="M89" s="19">
        <f t="shared" si="41"/>
        <v>18153.929214473701</v>
      </c>
      <c r="N89" s="19">
        <f t="shared" si="42"/>
        <v>105897.92041776321</v>
      </c>
      <c r="O89" s="19">
        <f t="shared" si="43"/>
        <v>12102.6194763158</v>
      </c>
      <c r="P89" s="19">
        <f t="shared" si="44"/>
        <v>20000</v>
      </c>
      <c r="Q89" s="19">
        <f t="shared" si="45"/>
        <v>14400</v>
      </c>
      <c r="R89" s="19">
        <f t="shared" si="46"/>
        <v>25199.9748</v>
      </c>
      <c r="S89" s="20">
        <f t="shared" si="47"/>
        <v>1069326.2719224773</v>
      </c>
    </row>
    <row r="90" spans="2:19" x14ac:dyDescent="0.2">
      <c r="B90" s="23" t="s">
        <v>98</v>
      </c>
      <c r="C90" s="57"/>
      <c r="D90" s="48">
        <v>12</v>
      </c>
      <c r="E90" s="18">
        <v>1</v>
      </c>
      <c r="F90" s="19">
        <v>25199.974800000004</v>
      </c>
      <c r="G90" s="19">
        <v>302565.48690789484</v>
      </c>
      <c r="H90" s="19">
        <v>4144.732697368423</v>
      </c>
      <c r="I90" s="19">
        <v>41447.326973684227</v>
      </c>
      <c r="J90" s="19">
        <v>11500.538092105275</v>
      </c>
      <c r="K90" s="19">
        <f t="shared" si="39"/>
        <v>58849.318782201313</v>
      </c>
      <c r="L90" s="19">
        <v>18278.510553708013</v>
      </c>
      <c r="M90" s="19">
        <v>9076.964607236845</v>
      </c>
      <c r="N90" s="19">
        <v>52948.960208881595</v>
      </c>
      <c r="O90" s="19">
        <v>6051.3097381578973</v>
      </c>
      <c r="P90" s="19">
        <v>10000</v>
      </c>
      <c r="Q90" s="19">
        <v>7200</v>
      </c>
      <c r="R90" s="19">
        <v>12599.987400000002</v>
      </c>
      <c r="S90" s="20">
        <f t="shared" si="47"/>
        <v>534663.13596123853</v>
      </c>
    </row>
    <row r="91" spans="2:19" ht="15" customHeight="1" x14ac:dyDescent="0.2">
      <c r="B91" s="52" t="s">
        <v>103</v>
      </c>
      <c r="C91" s="56"/>
      <c r="D91" s="53">
        <v>12</v>
      </c>
      <c r="E91" s="53">
        <v>4</v>
      </c>
      <c r="F91" s="54">
        <v>25199.974800000004</v>
      </c>
      <c r="G91" s="54">
        <v>1210261.9476315801</v>
      </c>
      <c r="H91" s="54">
        <v>19803.5509967176</v>
      </c>
      <c r="I91" s="54">
        <v>198035.50996717601</v>
      </c>
      <c r="J91" s="54">
        <v>55676.012990152798</v>
      </c>
      <c r="K91" s="54">
        <v>235397.27512880519</v>
      </c>
      <c r="L91" s="54">
        <v>87334.803550594806</v>
      </c>
      <c r="M91" s="54">
        <v>43369.7766828116</v>
      </c>
      <c r="N91" s="54">
        <v>252990.36398306719</v>
      </c>
      <c r="O91" s="54">
        <v>28913.18445520768</v>
      </c>
      <c r="P91" s="54">
        <v>40000</v>
      </c>
      <c r="Q91" s="54">
        <v>28800</v>
      </c>
      <c r="R91" s="54">
        <v>50399.9496</v>
      </c>
      <c r="S91" s="55">
        <v>2250982.3749861126</v>
      </c>
    </row>
    <row r="92" spans="2:19" ht="15.75" customHeight="1" x14ac:dyDescent="0.2">
      <c r="B92" s="23" t="s">
        <v>12</v>
      </c>
      <c r="C92" s="18">
        <v>3</v>
      </c>
      <c r="D92" s="18">
        <v>12</v>
      </c>
      <c r="E92" s="18">
        <v>1</v>
      </c>
      <c r="F92" s="19">
        <v>20162.797200000001</v>
      </c>
      <c r="G92" s="19">
        <f>242086.216381579*E92</f>
        <v>242086.216381579</v>
      </c>
      <c r="H92" s="19">
        <f>3316.24953947368*E92</f>
        <v>3316.2495394736802</v>
      </c>
      <c r="I92" s="19">
        <f>33162.4953947368*E92</f>
        <v>33162.495394736798</v>
      </c>
      <c r="J92" s="19">
        <f>7067.8294768421*E92</f>
        <v>7067.8294768421001</v>
      </c>
      <c r="K92" s="19">
        <f t="shared" ref="K92:K97" si="48">E92*F92*7.00657894736842*33.33%</f>
        <v>47086.034386180254</v>
      </c>
      <c r="L92" s="19">
        <f>14624.8519824899*E92</f>
        <v>14624.851982489899</v>
      </c>
      <c r="M92" s="19">
        <f>7262.58649144737*E92</f>
        <v>7262.5864914473696</v>
      </c>
      <c r="N92" s="19">
        <f>42365.0878667763*E92</f>
        <v>42365.087866776303</v>
      </c>
      <c r="O92" s="19">
        <f>4841.72432763158*E92</f>
        <v>4841.7243276315803</v>
      </c>
      <c r="P92" s="19">
        <f t="shared" ref="P92:P97" si="49">10000*E92</f>
        <v>10000</v>
      </c>
      <c r="Q92" s="19">
        <f t="shared" ref="Q92:Q97" si="50">7200*E92</f>
        <v>7200</v>
      </c>
      <c r="R92" s="19">
        <f>10081.3986*E92</f>
        <v>10081.3986</v>
      </c>
      <c r="S92" s="20">
        <f t="shared" ref="S92:S97" si="51">SUM(G92:R92)</f>
        <v>429094.474447157</v>
      </c>
    </row>
    <row r="93" spans="2:19" ht="15.75" customHeight="1" x14ac:dyDescent="0.2">
      <c r="B93" s="23" t="s">
        <v>27</v>
      </c>
      <c r="C93" s="18">
        <v>3</v>
      </c>
      <c r="D93" s="18">
        <v>12</v>
      </c>
      <c r="E93" s="18">
        <v>1</v>
      </c>
      <c r="F93" s="19">
        <v>20162.797200000001</v>
      </c>
      <c r="G93" s="19">
        <f>242086.216381579*E93</f>
        <v>242086.216381579</v>
      </c>
      <c r="H93" s="19">
        <f>3316.24953947368*E93</f>
        <v>3316.2495394736802</v>
      </c>
      <c r="I93" s="19">
        <f>33162.4953947368*E93</f>
        <v>33162.495394736798</v>
      </c>
      <c r="J93" s="19">
        <f>7067.8294768421*E93</f>
        <v>7067.8294768421001</v>
      </c>
      <c r="K93" s="19">
        <f t="shared" si="48"/>
        <v>47086.034386180254</v>
      </c>
      <c r="L93" s="19">
        <f>14624.8519824899*E93</f>
        <v>14624.851982489899</v>
      </c>
      <c r="M93" s="19">
        <f>7262.58649144737*E93</f>
        <v>7262.5864914473696</v>
      </c>
      <c r="N93" s="19">
        <f>42365.0878667763*E93</f>
        <v>42365.087866776303</v>
      </c>
      <c r="O93" s="19">
        <f>4841.72432763158*E93</f>
        <v>4841.7243276315803</v>
      </c>
      <c r="P93" s="19">
        <f t="shared" si="49"/>
        <v>10000</v>
      </c>
      <c r="Q93" s="19">
        <f t="shared" si="50"/>
        <v>7200</v>
      </c>
      <c r="R93" s="19">
        <f>10081.3986*E93</f>
        <v>10081.3986</v>
      </c>
      <c r="S93" s="20">
        <f t="shared" si="51"/>
        <v>429094.474447157</v>
      </c>
    </row>
    <row r="94" spans="2:19" x14ac:dyDescent="0.2">
      <c r="B94" s="23" t="s">
        <v>96</v>
      </c>
      <c r="C94" s="18">
        <v>2</v>
      </c>
      <c r="D94" s="18">
        <v>12</v>
      </c>
      <c r="E94" s="18">
        <v>2</v>
      </c>
      <c r="F94" s="19">
        <v>13281.886800000002</v>
      </c>
      <c r="G94" s="19">
        <f>159470.022434211*E94</f>
        <v>318940.04486842197</v>
      </c>
      <c r="H94" s="19">
        <f>2184.52085526316*E94</f>
        <v>4369.0417105263195</v>
      </c>
      <c r="I94" s="19">
        <f>21845.2085526316*E94</f>
        <v>43690.417105263201</v>
      </c>
      <c r="J94" s="19">
        <f>4001.3706268421*E94</f>
        <v>8002.7412536842003</v>
      </c>
      <c r="K94" s="19">
        <f t="shared" si="48"/>
        <v>62034.188250244733</v>
      </c>
      <c r="L94" s="19">
        <f>9633.86312778992*E94</f>
        <v>19267.726255579841</v>
      </c>
      <c r="M94" s="19">
        <f>4784.10067302632*E94</f>
        <v>9568.2013460526396</v>
      </c>
      <c r="N94" s="19">
        <f>27907.2539259868*E94</f>
        <v>55814.507851973598</v>
      </c>
      <c r="O94" s="19">
        <f>3189.40044868421*E94</f>
        <v>6378.80089736842</v>
      </c>
      <c r="P94" s="19">
        <f t="shared" si="49"/>
        <v>20000</v>
      </c>
      <c r="Q94" s="19">
        <f t="shared" si="50"/>
        <v>14400</v>
      </c>
      <c r="R94" s="19">
        <f>6640.9434*E94</f>
        <v>13281.8868</v>
      </c>
      <c r="S94" s="20">
        <f t="shared" si="51"/>
        <v>575747.5563391149</v>
      </c>
    </row>
    <row r="95" spans="2:19" ht="15" customHeight="1" x14ac:dyDescent="0.2">
      <c r="B95" s="23" t="s">
        <v>62</v>
      </c>
      <c r="C95" s="18">
        <v>2</v>
      </c>
      <c r="D95" s="18">
        <v>12</v>
      </c>
      <c r="E95" s="18">
        <v>1</v>
      </c>
      <c r="F95" s="19">
        <v>13281.886800000002</v>
      </c>
      <c r="G95" s="19">
        <f>159470.022434211*E95</f>
        <v>159470.02243421099</v>
      </c>
      <c r="H95" s="19">
        <f>2184.52085526316*E95</f>
        <v>2184.5208552631598</v>
      </c>
      <c r="I95" s="19">
        <f>21845.2085526316*E95</f>
        <v>21845.2085526316</v>
      </c>
      <c r="J95" s="19">
        <f>4001.3706268421*E95</f>
        <v>4001.3706268421001</v>
      </c>
      <c r="K95" s="19">
        <f t="shared" si="48"/>
        <v>31017.094125122367</v>
      </c>
      <c r="L95" s="19">
        <f>9633.86312778992*E95</f>
        <v>9633.8631277899203</v>
      </c>
      <c r="M95" s="19">
        <f>4784.10067302632*E95</f>
        <v>4784.1006730263198</v>
      </c>
      <c r="N95" s="19">
        <f>27907.2539259868*E95</f>
        <v>27907.253925986799</v>
      </c>
      <c r="O95" s="19">
        <f>3189.40044868421*E95</f>
        <v>3189.40044868421</v>
      </c>
      <c r="P95" s="19">
        <f t="shared" si="49"/>
        <v>10000</v>
      </c>
      <c r="Q95" s="19">
        <f t="shared" si="50"/>
        <v>7200</v>
      </c>
      <c r="R95" s="19">
        <f>6640.9434*E95</f>
        <v>6640.9434000000001</v>
      </c>
      <c r="S95" s="20">
        <f t="shared" si="51"/>
        <v>287873.77816955745</v>
      </c>
    </row>
    <row r="96" spans="2:19" x14ac:dyDescent="0.2">
      <c r="B96" s="23" t="s">
        <v>99</v>
      </c>
      <c r="C96" s="56"/>
      <c r="D96" s="18">
        <v>12</v>
      </c>
      <c r="E96" s="18">
        <v>3</v>
      </c>
      <c r="F96" s="19">
        <v>13281.886800000002</v>
      </c>
      <c r="G96" s="19">
        <f>159470.022434211*E96</f>
        <v>478410.06730263296</v>
      </c>
      <c r="H96" s="19">
        <f>2184.52085526316*E96</f>
        <v>6553.5625657894798</v>
      </c>
      <c r="I96" s="19">
        <f>21845.2085526316*E96</f>
        <v>65535.625657894801</v>
      </c>
      <c r="J96" s="19">
        <f>4001.3706268421*E96</f>
        <v>12004.1118805263</v>
      </c>
      <c r="K96" s="19">
        <f t="shared" si="48"/>
        <v>93051.282375367111</v>
      </c>
      <c r="L96" s="19">
        <f>9633.86312778992*E96</f>
        <v>28901.589383369763</v>
      </c>
      <c r="M96" s="19">
        <f>4784.10067302632*E96</f>
        <v>14352.302019078959</v>
      </c>
      <c r="N96" s="19">
        <f>27907.2539259868*E96</f>
        <v>83721.761777960404</v>
      </c>
      <c r="O96" s="19">
        <f>3189.40044868421*E96</f>
        <v>9568.2013460526305</v>
      </c>
      <c r="P96" s="19">
        <f t="shared" si="49"/>
        <v>30000</v>
      </c>
      <c r="Q96" s="19">
        <f t="shared" si="50"/>
        <v>21600</v>
      </c>
      <c r="R96" s="19">
        <f>6640.9434*E96</f>
        <v>19922.8302</v>
      </c>
      <c r="S96" s="20">
        <f t="shared" si="51"/>
        <v>863621.33450867236</v>
      </c>
    </row>
    <row r="97" spans="2:19" ht="15.75" thickBot="1" x14ac:dyDescent="0.25">
      <c r="B97" s="59" t="s">
        <v>63</v>
      </c>
      <c r="C97" s="60">
        <v>1</v>
      </c>
      <c r="D97" s="60">
        <v>12</v>
      </c>
      <c r="E97" s="60">
        <v>3</v>
      </c>
      <c r="F97" s="61">
        <v>12649.618800000002</v>
      </c>
      <c r="G97" s="61">
        <f>151878.646776316*E97</f>
        <v>455635.94032894797</v>
      </c>
      <c r="H97" s="61">
        <f>2080.52940789474*E97</f>
        <v>6241.5882236842199</v>
      </c>
      <c r="I97" s="61">
        <f>20805.2940789474*E97</f>
        <v>62415.882236842204</v>
      </c>
      <c r="J97" s="61">
        <f>3779.24489526316*E97</f>
        <v>11337.734685789479</v>
      </c>
      <c r="K97" s="61">
        <f t="shared" si="48"/>
        <v>88621.689721038158</v>
      </c>
      <c r="L97" s="61">
        <f>9175.2548393891*E97</f>
        <v>27525.7645181673</v>
      </c>
      <c r="M97" s="61">
        <f>4556.35940328947*E97</f>
        <v>13669.07820986841</v>
      </c>
      <c r="N97" s="61">
        <f>26578.7631858553*E97</f>
        <v>79736.289557565906</v>
      </c>
      <c r="O97" s="61">
        <f>3037.57293552632*E97</f>
        <v>9112.7188065789596</v>
      </c>
      <c r="P97" s="61">
        <f t="shared" si="49"/>
        <v>30000</v>
      </c>
      <c r="Q97" s="61">
        <f t="shared" si="50"/>
        <v>21600</v>
      </c>
      <c r="R97" s="61">
        <f>6324.8094*E97</f>
        <v>18974.428200000002</v>
      </c>
      <c r="S97" s="62">
        <f t="shared" si="51"/>
        <v>824871.11448848271</v>
      </c>
    </row>
    <row r="98" spans="2:19" x14ac:dyDescent="0.2">
      <c r="F98" s="13"/>
      <c r="H98" s="28"/>
      <c r="I98" s="27"/>
      <c r="J98" s="21"/>
      <c r="K98" s="21"/>
      <c r="L98" s="8"/>
      <c r="M98" s="7"/>
      <c r="N98" s="8"/>
      <c r="O98" s="8"/>
      <c r="P98" s="8"/>
      <c r="Q98" s="8"/>
      <c r="R98" s="9"/>
      <c r="S98" s="9"/>
    </row>
    <row r="99" spans="2:19" x14ac:dyDescent="0.2">
      <c r="I99" s="27"/>
      <c r="R99" s="26"/>
      <c r="S99" s="26"/>
    </row>
    <row r="100" spans="2:19" x14ac:dyDescent="0.2">
      <c r="H100" s="22"/>
      <c r="I100" s="27"/>
      <c r="N100" s="29"/>
      <c r="O100" s="29"/>
      <c r="P100" s="29"/>
      <c r="Q100" s="29"/>
    </row>
    <row r="101" spans="2:19" x14ac:dyDescent="0.2">
      <c r="G101" s="30"/>
      <c r="I101" s="27"/>
      <c r="R101" s="26"/>
      <c r="S101" s="26"/>
    </row>
    <row r="102" spans="2:19" x14ac:dyDescent="0.2">
      <c r="F102" s="15"/>
      <c r="G102" s="25"/>
      <c r="H102" s="31"/>
      <c r="N102" s="29"/>
      <c r="O102" s="29"/>
      <c r="P102" s="29"/>
      <c r="Q102" s="29"/>
    </row>
    <row r="103" spans="2:19" x14ac:dyDescent="0.2">
      <c r="F103" s="31"/>
      <c r="G103" s="32"/>
      <c r="H103" s="27"/>
      <c r="I103" s="27"/>
      <c r="L103" s="26"/>
      <c r="M103" s="33"/>
      <c r="N103" s="26"/>
      <c r="O103" s="26"/>
      <c r="P103" s="26"/>
      <c r="Q103" s="26"/>
      <c r="R103" s="26"/>
      <c r="S103" s="26"/>
    </row>
    <row r="104" spans="2:19" x14ac:dyDescent="0.2">
      <c r="F104" s="15"/>
      <c r="I104" s="21"/>
      <c r="L104" s="26"/>
      <c r="M104" s="34"/>
      <c r="N104" s="26"/>
      <c r="O104" s="26"/>
      <c r="P104" s="26"/>
      <c r="Q104" s="26"/>
      <c r="R104" s="26"/>
      <c r="S104" s="26"/>
    </row>
    <row r="105" spans="2:19" x14ac:dyDescent="0.2">
      <c r="F105" s="15"/>
      <c r="L105" s="26"/>
      <c r="M105" s="34"/>
      <c r="N105" s="26"/>
      <c r="O105" s="26"/>
      <c r="P105" s="26"/>
      <c r="Q105" s="26"/>
      <c r="R105" s="26"/>
      <c r="S105" s="26"/>
    </row>
    <row r="106" spans="2:19" x14ac:dyDescent="0.2">
      <c r="B106" s="35"/>
      <c r="C106" s="35"/>
      <c r="D106" s="35"/>
      <c r="E106" s="27"/>
      <c r="L106" s="36"/>
      <c r="M106" s="36"/>
      <c r="N106" s="36"/>
      <c r="O106" s="36"/>
      <c r="P106" s="36"/>
      <c r="Q106" s="36"/>
      <c r="R106" s="36"/>
      <c r="S106" s="36"/>
    </row>
    <row r="107" spans="2:19" x14ac:dyDescent="0.2">
      <c r="B107" s="22"/>
      <c r="C107" s="22"/>
      <c r="D107" s="22"/>
      <c r="E107" s="27"/>
      <c r="L107" s="16"/>
      <c r="M107" s="16"/>
      <c r="N107" s="16"/>
      <c r="O107" s="16"/>
      <c r="P107" s="16"/>
      <c r="Q107" s="16"/>
      <c r="R107" s="16"/>
      <c r="S107" s="16"/>
    </row>
    <row r="108" spans="2:19" x14ac:dyDescent="0.2">
      <c r="E108" s="27"/>
      <c r="L108" s="26"/>
      <c r="M108" s="34"/>
      <c r="N108" s="26"/>
      <c r="O108" s="26"/>
      <c r="P108" s="26"/>
      <c r="Q108" s="26"/>
      <c r="R108" s="26"/>
      <c r="S108" s="26"/>
    </row>
    <row r="109" spans="2:19" x14ac:dyDescent="0.2">
      <c r="B109" s="22"/>
      <c r="C109" s="22"/>
      <c r="D109" s="22"/>
      <c r="E109" s="27"/>
      <c r="L109" s="26"/>
      <c r="M109" s="34"/>
      <c r="N109" s="26"/>
      <c r="O109" s="26"/>
      <c r="P109" s="26"/>
      <c r="Q109" s="33"/>
      <c r="R109" s="26"/>
      <c r="S109" s="26"/>
    </row>
    <row r="110" spans="2:19" x14ac:dyDescent="0.2">
      <c r="B110" s="22"/>
      <c r="C110" s="22"/>
      <c r="D110" s="22"/>
      <c r="E110" s="27"/>
      <c r="F110" s="15"/>
      <c r="I110" s="13"/>
      <c r="L110" s="26"/>
      <c r="M110" s="34"/>
      <c r="N110" s="26"/>
      <c r="O110" s="26"/>
      <c r="P110" s="26"/>
      <c r="Q110" s="34"/>
      <c r="R110" s="26"/>
      <c r="S110" s="26"/>
    </row>
    <row r="111" spans="2:19" x14ac:dyDescent="0.2">
      <c r="E111" s="27"/>
      <c r="F111" s="15"/>
      <c r="I111" s="13"/>
      <c r="L111" s="26"/>
      <c r="M111" s="34"/>
      <c r="N111" s="26"/>
      <c r="O111" s="26"/>
      <c r="P111" s="26"/>
      <c r="Q111" s="34"/>
      <c r="R111" s="26"/>
      <c r="S111" s="26"/>
    </row>
    <row r="112" spans="2:19" x14ac:dyDescent="0.2">
      <c r="E112" s="22"/>
      <c r="F112" s="15"/>
      <c r="J112" s="37"/>
      <c r="K112" s="37"/>
      <c r="L112" s="26"/>
      <c r="M112" s="34"/>
      <c r="N112" s="26"/>
      <c r="O112" s="26"/>
      <c r="P112" s="36"/>
      <c r="Q112" s="36"/>
      <c r="R112" s="36"/>
      <c r="S112" s="36"/>
    </row>
    <row r="113" spans="5:19" x14ac:dyDescent="0.2">
      <c r="E113" s="38"/>
      <c r="F113" s="15"/>
      <c r="J113" s="16"/>
      <c r="K113" s="16"/>
      <c r="L113" s="26"/>
      <c r="M113" s="34"/>
      <c r="N113" s="26"/>
      <c r="O113" s="26"/>
      <c r="P113" s="16"/>
      <c r="Q113" s="16"/>
      <c r="R113" s="16"/>
      <c r="S113" s="16"/>
    </row>
    <row r="114" spans="5:19" x14ac:dyDescent="0.2">
      <c r="F114" s="15"/>
      <c r="J114" s="39"/>
      <c r="K114" s="39"/>
      <c r="L114" s="65"/>
      <c r="M114" s="65"/>
      <c r="N114" s="65"/>
      <c r="O114" s="40"/>
      <c r="P114" s="26"/>
      <c r="Q114" s="34"/>
      <c r="R114" s="26"/>
      <c r="S114" s="26"/>
    </row>
    <row r="115" spans="5:19" x14ac:dyDescent="0.2">
      <c r="F115" s="15"/>
      <c r="J115" s="41"/>
      <c r="K115" s="41"/>
      <c r="L115" s="42"/>
      <c r="M115" s="43"/>
      <c r="N115" s="26"/>
      <c r="O115" s="26"/>
      <c r="P115" s="26"/>
      <c r="Q115" s="34"/>
      <c r="R115" s="26"/>
      <c r="S115" s="26"/>
    </row>
    <row r="116" spans="5:19" x14ac:dyDescent="0.2">
      <c r="F116" s="15"/>
      <c r="I116" s="16"/>
      <c r="J116" s="26"/>
      <c r="K116" s="26"/>
      <c r="L116" s="16"/>
      <c r="M116" s="37"/>
      <c r="N116" s="26"/>
      <c r="O116" s="26"/>
      <c r="P116" s="26"/>
      <c r="Q116" s="34"/>
      <c r="R116" s="26"/>
      <c r="S116" s="26"/>
    </row>
    <row r="117" spans="5:19" x14ac:dyDescent="0.2">
      <c r="F117" s="15"/>
      <c r="I117" s="16"/>
      <c r="J117" s="26"/>
      <c r="K117" s="26"/>
      <c r="L117" s="26"/>
      <c r="M117" s="33"/>
      <c r="N117" s="26"/>
      <c r="O117" s="26"/>
      <c r="P117" s="26"/>
      <c r="Q117" s="34"/>
      <c r="R117" s="26"/>
      <c r="S117" s="26"/>
    </row>
    <row r="118" spans="5:19" x14ac:dyDescent="0.2">
      <c r="F118" s="15"/>
      <c r="I118" s="34"/>
      <c r="L118" s="26"/>
      <c r="M118" s="33"/>
      <c r="N118" s="26"/>
      <c r="O118" s="26"/>
      <c r="P118" s="26"/>
      <c r="Q118" s="34"/>
      <c r="R118" s="26"/>
      <c r="S118" s="26"/>
    </row>
    <row r="119" spans="5:19" x14ac:dyDescent="0.2">
      <c r="F119" s="15"/>
      <c r="L119" s="26"/>
      <c r="M119" s="33"/>
      <c r="N119" s="26"/>
      <c r="O119" s="26"/>
      <c r="P119" s="26"/>
      <c r="Q119" s="34"/>
      <c r="R119" s="26"/>
      <c r="S119" s="26"/>
    </row>
    <row r="120" spans="5:19" x14ac:dyDescent="0.2">
      <c r="F120" s="15"/>
      <c r="L120" s="26"/>
      <c r="M120" s="34"/>
      <c r="N120" s="26"/>
      <c r="O120" s="26"/>
      <c r="P120" s="26"/>
      <c r="Q120" s="26"/>
      <c r="R120" s="26"/>
      <c r="S120" s="26"/>
    </row>
    <row r="121" spans="5:19" x14ac:dyDescent="0.2">
      <c r="F121" s="15"/>
      <c r="G121" s="26"/>
      <c r="H121" s="22"/>
      <c r="L121" s="26"/>
      <c r="M121" s="34"/>
      <c r="N121" s="26"/>
      <c r="O121" s="26"/>
      <c r="P121" s="26"/>
      <c r="Q121" s="26"/>
      <c r="R121" s="26"/>
      <c r="S121" s="26"/>
    </row>
    <row r="122" spans="5:19" x14ac:dyDescent="0.2">
      <c r="F122" s="15"/>
      <c r="H122" s="22"/>
      <c r="L122" s="36"/>
      <c r="M122" s="36"/>
      <c r="N122" s="36"/>
      <c r="O122" s="36"/>
      <c r="P122" s="36"/>
      <c r="Q122" s="36"/>
      <c r="R122" s="36"/>
      <c r="S122" s="36"/>
    </row>
    <row r="123" spans="5:19" x14ac:dyDescent="0.2">
      <c r="F123" s="15"/>
      <c r="G123" s="26"/>
      <c r="H123" s="22"/>
      <c r="L123" s="16"/>
      <c r="M123" s="16"/>
      <c r="N123" s="16"/>
      <c r="O123" s="16"/>
      <c r="P123" s="16"/>
      <c r="Q123" s="16"/>
      <c r="R123" s="16"/>
      <c r="S123" s="16"/>
    </row>
    <row r="124" spans="5:19" x14ac:dyDescent="0.2">
      <c r="F124" s="15"/>
      <c r="G124" s="26"/>
      <c r="H124" s="21"/>
      <c r="L124" s="26"/>
      <c r="M124" s="34"/>
      <c r="N124" s="26"/>
      <c r="O124" s="26"/>
      <c r="P124" s="26"/>
      <c r="Q124" s="26"/>
      <c r="R124" s="26"/>
      <c r="S124" s="26"/>
    </row>
    <row r="125" spans="5:19" x14ac:dyDescent="0.2">
      <c r="F125" s="15"/>
      <c r="L125" s="26"/>
      <c r="M125" s="34"/>
      <c r="N125" s="26"/>
      <c r="O125" s="26"/>
      <c r="P125" s="26"/>
      <c r="Q125" s="26"/>
      <c r="R125" s="26"/>
      <c r="S125" s="26"/>
    </row>
    <row r="126" spans="5:19" x14ac:dyDescent="0.2">
      <c r="F126" s="15"/>
      <c r="L126" s="26"/>
      <c r="M126" s="34"/>
      <c r="N126" s="26"/>
      <c r="O126" s="26"/>
      <c r="P126" s="26"/>
      <c r="Q126" s="26"/>
      <c r="R126" s="26"/>
      <c r="S126" s="26"/>
    </row>
    <row r="127" spans="5:19" x14ac:dyDescent="0.2">
      <c r="L127" s="26"/>
      <c r="M127" s="34"/>
      <c r="N127" s="26"/>
      <c r="O127" s="26"/>
      <c r="P127" s="26"/>
      <c r="Q127" s="26"/>
      <c r="R127" s="26"/>
      <c r="S127" s="26"/>
    </row>
    <row r="128" spans="5:19" x14ac:dyDescent="0.2">
      <c r="L128" s="26"/>
      <c r="M128" s="34"/>
      <c r="N128" s="26"/>
      <c r="O128" s="26"/>
      <c r="P128" s="26"/>
      <c r="Q128" s="26"/>
      <c r="R128" s="26"/>
      <c r="S128" s="26"/>
    </row>
    <row r="129" spans="12:19" x14ac:dyDescent="0.2">
      <c r="L129" s="26"/>
      <c r="M129" s="34"/>
      <c r="N129" s="26"/>
      <c r="O129" s="26"/>
      <c r="P129" s="26"/>
      <c r="Q129" s="26"/>
      <c r="R129" s="26"/>
      <c r="S129" s="26"/>
    </row>
    <row r="130" spans="12:19" x14ac:dyDescent="0.2">
      <c r="L130" s="26"/>
      <c r="M130" s="34"/>
      <c r="N130" s="26"/>
      <c r="O130" s="26"/>
      <c r="P130" s="26"/>
      <c r="Q130" s="26"/>
      <c r="R130" s="26"/>
      <c r="S130" s="26"/>
    </row>
    <row r="131" spans="12:19" x14ac:dyDescent="0.2">
      <c r="L131" s="26"/>
      <c r="M131" s="34"/>
      <c r="N131" s="26"/>
      <c r="O131" s="26"/>
      <c r="P131" s="26"/>
      <c r="Q131" s="26"/>
      <c r="R131" s="26"/>
      <c r="S131" s="26"/>
    </row>
    <row r="132" spans="12:19" x14ac:dyDescent="0.2">
      <c r="L132" s="36"/>
      <c r="M132" s="36"/>
      <c r="N132" s="36"/>
      <c r="O132" s="36"/>
      <c r="P132" s="36"/>
      <c r="Q132" s="36"/>
      <c r="R132" s="36"/>
      <c r="S132" s="36"/>
    </row>
    <row r="133" spans="12:19" x14ac:dyDescent="0.2">
      <c r="L133" s="26"/>
      <c r="M133" s="34"/>
      <c r="N133" s="26"/>
      <c r="O133" s="26"/>
      <c r="P133" s="26"/>
      <c r="Q133" s="26"/>
      <c r="R133" s="26"/>
      <c r="S133" s="26"/>
    </row>
    <row r="134" spans="12:19" x14ac:dyDescent="0.2">
      <c r="L134" s="26"/>
      <c r="M134" s="34"/>
      <c r="N134" s="26"/>
      <c r="O134" s="26"/>
      <c r="P134" s="26"/>
      <c r="Q134" s="26"/>
      <c r="R134" s="26"/>
      <c r="S134" s="26"/>
    </row>
    <row r="135" spans="12:19" x14ac:dyDescent="0.2">
      <c r="L135" s="26"/>
      <c r="M135" s="34"/>
      <c r="N135" s="26"/>
      <c r="O135" s="26"/>
      <c r="P135" s="26"/>
      <c r="Q135" s="26"/>
      <c r="R135" s="26"/>
      <c r="S135" s="26"/>
    </row>
    <row r="136" spans="12:19" x14ac:dyDescent="0.2">
      <c r="L136" s="26"/>
      <c r="M136" s="34"/>
      <c r="N136" s="26"/>
      <c r="O136" s="26"/>
      <c r="P136" s="26"/>
      <c r="Q136" s="26"/>
      <c r="R136" s="26"/>
      <c r="S136" s="26"/>
    </row>
    <row r="137" spans="12:19" x14ac:dyDescent="0.2">
      <c r="L137" s="26"/>
      <c r="M137" s="34"/>
      <c r="N137" s="26"/>
      <c r="O137" s="26"/>
      <c r="P137" s="26"/>
      <c r="Q137" s="26"/>
      <c r="R137" s="26"/>
      <c r="S137" s="26"/>
    </row>
    <row r="138" spans="12:19" x14ac:dyDescent="0.2">
      <c r="L138" s="26"/>
      <c r="M138" s="34"/>
      <c r="N138" s="26"/>
      <c r="O138" s="26"/>
      <c r="P138" s="26"/>
      <c r="Q138" s="26"/>
      <c r="R138" s="26"/>
      <c r="S138" s="26"/>
    </row>
    <row r="139" spans="12:19" x14ac:dyDescent="0.2">
      <c r="L139" s="26"/>
      <c r="M139" s="34"/>
      <c r="N139" s="26"/>
      <c r="O139" s="26"/>
      <c r="P139" s="26"/>
      <c r="Q139" s="26"/>
      <c r="R139" s="26"/>
      <c r="S139" s="26"/>
    </row>
    <row r="140" spans="12:19" x14ac:dyDescent="0.2">
      <c r="L140" s="26"/>
      <c r="M140" s="34"/>
      <c r="N140" s="26"/>
      <c r="O140" s="26"/>
      <c r="P140" s="26"/>
      <c r="Q140" s="26"/>
      <c r="R140" s="26"/>
      <c r="S140" s="26"/>
    </row>
    <row r="141" spans="12:19" x14ac:dyDescent="0.2">
      <c r="L141" s="26"/>
      <c r="M141" s="34"/>
      <c r="N141" s="26"/>
      <c r="O141" s="26"/>
      <c r="P141" s="26"/>
      <c r="Q141" s="26"/>
      <c r="R141" s="26"/>
      <c r="S141" s="26"/>
    </row>
    <row r="142" spans="12:19" x14ac:dyDescent="0.2">
      <c r="L142" s="26"/>
      <c r="M142" s="34"/>
      <c r="N142" s="26"/>
      <c r="O142" s="26"/>
      <c r="P142" s="26"/>
      <c r="Q142" s="26"/>
      <c r="R142" s="26"/>
      <c r="S142" s="26"/>
    </row>
    <row r="143" spans="12:19" x14ac:dyDescent="0.2">
      <c r="L143" s="36"/>
      <c r="M143" s="36"/>
      <c r="N143" s="36"/>
      <c r="O143" s="36"/>
      <c r="P143" s="36"/>
      <c r="Q143" s="36"/>
      <c r="R143" s="36"/>
      <c r="S143" s="36"/>
    </row>
    <row r="144" spans="12:19" x14ac:dyDescent="0.2">
      <c r="L144" s="16"/>
      <c r="M144" s="16"/>
      <c r="N144" s="16"/>
      <c r="O144" s="16"/>
      <c r="P144" s="16"/>
      <c r="Q144" s="16"/>
      <c r="R144" s="16"/>
      <c r="S144" s="16"/>
    </row>
    <row r="145" spans="12:19" x14ac:dyDescent="0.2">
      <c r="L145" s="26"/>
      <c r="M145" s="34"/>
      <c r="N145" s="26"/>
      <c r="O145" s="26"/>
      <c r="P145" s="26"/>
      <c r="Q145" s="26"/>
      <c r="R145" s="26"/>
      <c r="S145" s="26"/>
    </row>
    <row r="146" spans="12:19" x14ac:dyDescent="0.2">
      <c r="L146" s="26"/>
      <c r="M146" s="34"/>
      <c r="N146" s="26"/>
      <c r="O146" s="26"/>
      <c r="P146" s="26"/>
      <c r="Q146" s="26"/>
      <c r="R146" s="26"/>
      <c r="S146" s="26"/>
    </row>
    <row r="147" spans="12:19" x14ac:dyDescent="0.2">
      <c r="L147" s="26"/>
      <c r="M147" s="34"/>
      <c r="N147" s="26"/>
      <c r="O147" s="26"/>
      <c r="P147" s="26"/>
      <c r="Q147" s="26"/>
      <c r="R147" s="26"/>
      <c r="S147" s="26"/>
    </row>
    <row r="148" spans="12:19" x14ac:dyDescent="0.2">
      <c r="L148" s="26"/>
      <c r="M148" s="34"/>
      <c r="N148" s="26"/>
      <c r="O148" s="26"/>
      <c r="P148" s="26"/>
      <c r="Q148" s="26"/>
      <c r="R148" s="26"/>
      <c r="S148" s="26"/>
    </row>
    <row r="149" spans="12:19" x14ac:dyDescent="0.2">
      <c r="L149" s="26"/>
      <c r="M149" s="34"/>
      <c r="N149" s="26"/>
      <c r="O149" s="26"/>
      <c r="P149" s="26"/>
      <c r="Q149" s="26"/>
      <c r="R149" s="26"/>
      <c r="S149" s="26"/>
    </row>
    <row r="150" spans="12:19" x14ac:dyDescent="0.2">
      <c r="L150" s="26"/>
      <c r="M150" s="34"/>
      <c r="N150" s="26"/>
      <c r="O150" s="26"/>
      <c r="P150" s="26"/>
      <c r="Q150" s="26"/>
      <c r="R150" s="26"/>
      <c r="S150" s="26"/>
    </row>
    <row r="151" spans="12:19" x14ac:dyDescent="0.2">
      <c r="L151" s="36"/>
      <c r="M151" s="36"/>
      <c r="N151" s="36"/>
      <c r="O151" s="36"/>
      <c r="P151" s="36"/>
      <c r="Q151" s="36"/>
      <c r="R151" s="36"/>
      <c r="S151" s="36"/>
    </row>
    <row r="152" spans="12:19" x14ac:dyDescent="0.2">
      <c r="L152" s="26"/>
      <c r="M152" s="34"/>
      <c r="N152" s="26"/>
      <c r="O152" s="26"/>
      <c r="P152" s="26"/>
      <c r="Q152" s="26"/>
      <c r="R152" s="26"/>
      <c r="S152" s="26"/>
    </row>
    <row r="153" spans="12:19" x14ac:dyDescent="0.2">
      <c r="L153" s="26"/>
      <c r="M153" s="34"/>
      <c r="N153" s="26"/>
      <c r="O153" s="26"/>
      <c r="P153" s="26"/>
      <c r="Q153" s="26"/>
      <c r="R153" s="26"/>
      <c r="S153" s="26"/>
    </row>
    <row r="154" spans="12:19" x14ac:dyDescent="0.2">
      <c r="L154" s="26"/>
      <c r="M154" s="34"/>
      <c r="N154" s="26"/>
      <c r="O154" s="26"/>
      <c r="P154" s="26"/>
      <c r="Q154" s="26"/>
      <c r="R154" s="26"/>
      <c r="S154" s="26"/>
    </row>
    <row r="155" spans="12:19" x14ac:dyDescent="0.2">
      <c r="L155" s="26"/>
      <c r="M155" s="34"/>
      <c r="N155" s="26"/>
      <c r="O155" s="26"/>
      <c r="P155" s="26"/>
      <c r="Q155" s="26"/>
      <c r="R155" s="26"/>
      <c r="S155" s="26"/>
    </row>
    <row r="156" spans="12:19" x14ac:dyDescent="0.2">
      <c r="L156" s="26"/>
      <c r="M156" s="34"/>
      <c r="N156" s="26"/>
      <c r="O156" s="26"/>
      <c r="P156" s="26"/>
      <c r="Q156" s="26"/>
      <c r="R156" s="26"/>
      <c r="S156" s="26"/>
    </row>
    <row r="157" spans="12:19" x14ac:dyDescent="0.2">
      <c r="L157" s="26"/>
      <c r="M157" s="34"/>
      <c r="N157" s="26"/>
      <c r="O157" s="26"/>
      <c r="P157" s="26"/>
      <c r="Q157" s="26"/>
      <c r="R157" s="26"/>
      <c r="S157" s="26"/>
    </row>
    <row r="158" spans="12:19" x14ac:dyDescent="0.2">
      <c r="L158" s="26"/>
      <c r="M158" s="34"/>
      <c r="N158" s="26"/>
      <c r="O158" s="26"/>
      <c r="P158" s="26"/>
      <c r="Q158" s="26"/>
      <c r="R158" s="26"/>
      <c r="S158" s="26"/>
    </row>
    <row r="159" spans="12:19" x14ac:dyDescent="0.2">
      <c r="L159" s="36"/>
      <c r="M159" s="36"/>
      <c r="N159" s="36"/>
      <c r="O159" s="36"/>
      <c r="P159" s="36"/>
      <c r="Q159" s="36"/>
      <c r="R159" s="36"/>
      <c r="S159" s="36"/>
    </row>
    <row r="160" spans="12:19" x14ac:dyDescent="0.2">
      <c r="L160" s="26"/>
      <c r="M160" s="34"/>
      <c r="N160" s="26"/>
      <c r="O160" s="26"/>
      <c r="P160" s="26"/>
      <c r="Q160" s="26"/>
      <c r="R160" s="26"/>
      <c r="S160" s="26"/>
    </row>
    <row r="161" spans="12:19" x14ac:dyDescent="0.2">
      <c r="L161" s="26"/>
      <c r="M161" s="34"/>
      <c r="N161" s="26"/>
      <c r="O161" s="26"/>
      <c r="P161" s="26"/>
      <c r="Q161" s="26"/>
      <c r="R161" s="26"/>
      <c r="S161" s="26"/>
    </row>
    <row r="162" spans="12:19" x14ac:dyDescent="0.2">
      <c r="L162" s="26"/>
      <c r="M162" s="34"/>
      <c r="N162" s="26"/>
      <c r="O162" s="26"/>
      <c r="P162" s="26"/>
      <c r="Q162" s="26"/>
      <c r="R162" s="26"/>
      <c r="S162" s="26"/>
    </row>
    <row r="163" spans="12:19" x14ac:dyDescent="0.2">
      <c r="L163" s="26"/>
      <c r="M163" s="34"/>
      <c r="N163" s="26"/>
      <c r="O163" s="26"/>
      <c r="P163" s="26"/>
      <c r="Q163" s="26"/>
      <c r="R163" s="26"/>
      <c r="S163" s="26"/>
    </row>
    <row r="164" spans="12:19" x14ac:dyDescent="0.2">
      <c r="L164" s="26"/>
      <c r="M164" s="34"/>
      <c r="N164" s="26"/>
      <c r="O164" s="26"/>
      <c r="P164" s="26"/>
      <c r="Q164" s="26"/>
      <c r="R164" s="26"/>
      <c r="S164" s="26"/>
    </row>
    <row r="165" spans="12:19" x14ac:dyDescent="0.2">
      <c r="L165" s="36"/>
      <c r="M165" s="36"/>
      <c r="N165" s="36"/>
      <c r="O165" s="36"/>
      <c r="P165" s="36"/>
      <c r="Q165" s="36"/>
      <c r="R165" s="36"/>
      <c r="S165" s="36"/>
    </row>
    <row r="166" spans="12:19" x14ac:dyDescent="0.2">
      <c r="L166" s="44"/>
      <c r="M166" s="45"/>
      <c r="N166" s="44"/>
      <c r="O166" s="44"/>
      <c r="P166" s="44"/>
      <c r="Q166" s="44"/>
      <c r="R166" s="44"/>
      <c r="S166" s="44"/>
    </row>
    <row r="167" spans="12:19" x14ac:dyDescent="0.2">
      <c r="L167" s="26"/>
      <c r="M167" s="34"/>
      <c r="N167" s="26"/>
      <c r="O167" s="26"/>
      <c r="P167" s="26"/>
      <c r="Q167" s="26"/>
      <c r="R167" s="26"/>
      <c r="S167" s="26"/>
    </row>
    <row r="168" spans="12:19" x14ac:dyDescent="0.2">
      <c r="L168" s="26"/>
      <c r="M168" s="34"/>
      <c r="N168" s="26"/>
      <c r="O168" s="26"/>
      <c r="P168" s="26"/>
      <c r="Q168" s="26"/>
      <c r="R168" s="26"/>
      <c r="S168" s="26"/>
    </row>
    <row r="169" spans="12:19" x14ac:dyDescent="0.2">
      <c r="L169" s="26"/>
      <c r="M169" s="34"/>
      <c r="N169" s="26"/>
      <c r="O169" s="26"/>
      <c r="P169" s="26"/>
      <c r="Q169" s="26"/>
      <c r="R169" s="26"/>
      <c r="S169" s="26"/>
    </row>
    <row r="170" spans="12:19" x14ac:dyDescent="0.2">
      <c r="L170" s="26"/>
      <c r="M170" s="34"/>
      <c r="N170" s="26"/>
      <c r="O170" s="26"/>
      <c r="P170" s="26"/>
      <c r="Q170" s="26"/>
      <c r="R170" s="26"/>
      <c r="S170" s="26"/>
    </row>
    <row r="171" spans="12:19" x14ac:dyDescent="0.2">
      <c r="L171" s="36"/>
      <c r="M171" s="36"/>
      <c r="N171" s="36"/>
      <c r="O171" s="36"/>
      <c r="P171" s="36"/>
      <c r="Q171" s="36"/>
      <c r="R171" s="36"/>
      <c r="S171" s="36"/>
    </row>
    <row r="172" spans="12:19" x14ac:dyDescent="0.2">
      <c r="L172" s="44"/>
      <c r="M172" s="45"/>
      <c r="N172" s="44"/>
      <c r="O172" s="44"/>
      <c r="P172" s="44"/>
      <c r="Q172" s="44"/>
      <c r="R172" s="44"/>
      <c r="S172" s="44"/>
    </row>
    <row r="173" spans="12:19" x14ac:dyDescent="0.2">
      <c r="L173" s="26"/>
      <c r="M173" s="34"/>
      <c r="N173" s="26"/>
      <c r="O173" s="26"/>
      <c r="P173" s="26"/>
      <c r="Q173" s="26"/>
      <c r="R173" s="26"/>
      <c r="S173" s="26"/>
    </row>
    <row r="174" spans="12:19" x14ac:dyDescent="0.2">
      <c r="L174" s="26"/>
      <c r="M174" s="34"/>
      <c r="N174" s="26"/>
      <c r="O174" s="26"/>
      <c r="P174" s="26"/>
      <c r="Q174" s="26"/>
      <c r="R174" s="26"/>
      <c r="S174" s="26"/>
    </row>
    <row r="175" spans="12:19" x14ac:dyDescent="0.2">
      <c r="L175" s="26"/>
      <c r="M175" s="34"/>
      <c r="N175" s="26"/>
      <c r="O175" s="26"/>
      <c r="P175" s="26"/>
      <c r="Q175" s="26"/>
      <c r="R175" s="26"/>
      <c r="S175" s="26"/>
    </row>
    <row r="176" spans="12:19" x14ac:dyDescent="0.2">
      <c r="L176" s="26"/>
      <c r="M176" s="34"/>
      <c r="N176" s="26"/>
      <c r="O176" s="26"/>
      <c r="P176" s="26"/>
      <c r="Q176" s="26"/>
      <c r="R176" s="26"/>
      <c r="S176" s="26"/>
    </row>
    <row r="177" spans="12:19" x14ac:dyDescent="0.2">
      <c r="L177" s="26"/>
      <c r="M177" s="34"/>
      <c r="N177" s="26"/>
      <c r="O177" s="26"/>
      <c r="P177" s="26"/>
      <c r="Q177" s="26"/>
      <c r="R177" s="26"/>
      <c r="S177" s="26"/>
    </row>
    <row r="178" spans="12:19" x14ac:dyDescent="0.2">
      <c r="L178" s="36"/>
      <c r="M178" s="36"/>
      <c r="N178" s="36"/>
      <c r="O178" s="36"/>
      <c r="P178" s="36"/>
      <c r="Q178" s="36"/>
      <c r="R178" s="36"/>
      <c r="S178" s="36"/>
    </row>
    <row r="179" spans="12:19" x14ac:dyDescent="0.2">
      <c r="L179" s="44"/>
      <c r="M179" s="45"/>
      <c r="N179" s="44"/>
      <c r="O179" s="44"/>
      <c r="P179" s="44"/>
      <c r="Q179" s="44"/>
      <c r="R179" s="44"/>
      <c r="S179" s="44"/>
    </row>
    <row r="180" spans="12:19" x14ac:dyDescent="0.2">
      <c r="L180" s="26"/>
      <c r="M180" s="34"/>
      <c r="N180" s="26"/>
      <c r="O180" s="26"/>
      <c r="P180" s="26"/>
      <c r="Q180" s="26"/>
      <c r="R180" s="26"/>
      <c r="S180" s="26"/>
    </row>
    <row r="181" spans="12:19" x14ac:dyDescent="0.2">
      <c r="L181" s="26"/>
      <c r="M181" s="34"/>
      <c r="N181" s="26"/>
      <c r="O181" s="26"/>
      <c r="P181" s="26"/>
      <c r="Q181" s="26"/>
      <c r="R181" s="26"/>
      <c r="S181" s="26"/>
    </row>
    <row r="182" spans="12:19" x14ac:dyDescent="0.2">
      <c r="L182" s="26"/>
      <c r="M182" s="34"/>
      <c r="N182" s="26"/>
      <c r="O182" s="26"/>
      <c r="P182" s="26"/>
      <c r="Q182" s="26"/>
      <c r="R182" s="26"/>
      <c r="S182" s="26"/>
    </row>
    <row r="183" spans="12:19" x14ac:dyDescent="0.2">
      <c r="L183" s="26"/>
      <c r="M183" s="34"/>
      <c r="N183" s="26"/>
      <c r="O183" s="26"/>
      <c r="P183" s="26"/>
      <c r="Q183" s="26"/>
      <c r="R183" s="26"/>
      <c r="S183" s="26"/>
    </row>
    <row r="184" spans="12:19" x14ac:dyDescent="0.2">
      <c r="L184" s="26"/>
      <c r="M184" s="34"/>
      <c r="N184" s="26"/>
      <c r="O184" s="26"/>
      <c r="P184" s="26"/>
      <c r="Q184" s="26"/>
      <c r="R184" s="26"/>
      <c r="S184" s="26"/>
    </row>
    <row r="185" spans="12:19" x14ac:dyDescent="0.2">
      <c r="L185" s="36"/>
      <c r="M185" s="36"/>
      <c r="N185" s="36"/>
      <c r="O185" s="36"/>
      <c r="P185" s="36"/>
      <c r="Q185" s="36"/>
      <c r="R185" s="36"/>
      <c r="S185" s="36"/>
    </row>
    <row r="186" spans="12:19" x14ac:dyDescent="0.2">
      <c r="L186" s="44"/>
      <c r="M186" s="45"/>
      <c r="N186" s="44"/>
      <c r="O186" s="44"/>
      <c r="P186" s="44"/>
      <c r="Q186" s="44"/>
      <c r="R186" s="44"/>
      <c r="S186" s="44"/>
    </row>
    <row r="187" spans="12:19" x14ac:dyDescent="0.2">
      <c r="L187" s="26"/>
      <c r="M187" s="34"/>
      <c r="N187" s="26"/>
      <c r="O187" s="26"/>
      <c r="P187" s="26"/>
      <c r="Q187" s="26"/>
      <c r="R187" s="26"/>
      <c r="S187" s="26"/>
    </row>
    <row r="188" spans="12:19" x14ac:dyDescent="0.2">
      <c r="L188" s="26"/>
      <c r="M188" s="34"/>
      <c r="N188" s="26"/>
      <c r="O188" s="26"/>
      <c r="P188" s="26"/>
      <c r="Q188" s="26"/>
      <c r="R188" s="26"/>
      <c r="S188" s="26"/>
    </row>
    <row r="189" spans="12:19" x14ac:dyDescent="0.2">
      <c r="L189" s="26"/>
      <c r="M189" s="34"/>
      <c r="N189" s="26"/>
      <c r="O189" s="26"/>
      <c r="P189" s="26"/>
      <c r="Q189" s="26"/>
      <c r="R189" s="26"/>
      <c r="S189" s="26"/>
    </row>
    <row r="190" spans="12:19" x14ac:dyDescent="0.2">
      <c r="L190" s="26"/>
      <c r="M190" s="34"/>
      <c r="N190" s="26"/>
      <c r="O190" s="26"/>
      <c r="P190" s="26"/>
      <c r="Q190" s="26"/>
      <c r="R190" s="26"/>
      <c r="S190" s="26"/>
    </row>
    <row r="191" spans="12:19" x14ac:dyDescent="0.2">
      <c r="L191" s="26"/>
      <c r="M191" s="34"/>
      <c r="N191" s="26"/>
      <c r="O191" s="26"/>
      <c r="P191" s="26"/>
      <c r="Q191" s="26"/>
      <c r="R191" s="26"/>
      <c r="S191" s="26"/>
    </row>
    <row r="192" spans="12:19" x14ac:dyDescent="0.2">
      <c r="L192" s="26"/>
      <c r="M192" s="34"/>
      <c r="N192" s="26"/>
      <c r="O192" s="26"/>
      <c r="P192" s="26"/>
      <c r="Q192" s="26"/>
      <c r="R192" s="26"/>
      <c r="S192" s="26"/>
    </row>
    <row r="193" spans="12:19" x14ac:dyDescent="0.2">
      <c r="L193" s="36"/>
      <c r="M193" s="36"/>
      <c r="N193" s="36"/>
      <c r="O193" s="36"/>
      <c r="P193" s="36"/>
      <c r="Q193" s="36"/>
      <c r="R193" s="36"/>
      <c r="S193" s="36"/>
    </row>
    <row r="194" spans="12:19" x14ac:dyDescent="0.2">
      <c r="L194" s="44"/>
      <c r="M194" s="45"/>
      <c r="N194" s="44"/>
      <c r="O194" s="44"/>
      <c r="P194" s="44"/>
      <c r="Q194" s="44"/>
      <c r="R194" s="44"/>
      <c r="S194" s="44"/>
    </row>
    <row r="195" spans="12:19" x14ac:dyDescent="0.2">
      <c r="L195" s="26"/>
      <c r="M195" s="34"/>
      <c r="N195" s="26"/>
      <c r="O195" s="26"/>
      <c r="P195" s="26"/>
      <c r="Q195" s="26"/>
      <c r="R195" s="26"/>
      <c r="S195" s="26"/>
    </row>
    <row r="196" spans="12:19" x14ac:dyDescent="0.2">
      <c r="L196" s="26"/>
      <c r="M196" s="34"/>
      <c r="N196" s="26"/>
      <c r="O196" s="26"/>
      <c r="P196" s="26"/>
      <c r="Q196" s="26"/>
      <c r="R196" s="26"/>
      <c r="S196" s="26"/>
    </row>
    <row r="197" spans="12:19" x14ac:dyDescent="0.2">
      <c r="L197" s="26"/>
      <c r="M197" s="34"/>
      <c r="N197" s="26"/>
      <c r="O197" s="26"/>
      <c r="P197" s="26"/>
      <c r="Q197" s="26"/>
      <c r="R197" s="26"/>
      <c r="S197" s="26"/>
    </row>
    <row r="198" spans="12:19" x14ac:dyDescent="0.2">
      <c r="L198" s="26"/>
      <c r="M198" s="34"/>
      <c r="N198" s="26"/>
      <c r="O198" s="26"/>
      <c r="P198" s="26"/>
      <c r="Q198" s="26"/>
      <c r="R198" s="26"/>
      <c r="S198" s="26"/>
    </row>
    <row r="199" spans="12:19" x14ac:dyDescent="0.2">
      <c r="L199" s="36"/>
      <c r="M199" s="36"/>
      <c r="N199" s="36"/>
      <c r="O199" s="36"/>
      <c r="P199" s="36"/>
      <c r="Q199" s="36"/>
      <c r="R199" s="36"/>
      <c r="S199" s="36"/>
    </row>
    <row r="200" spans="12:19" x14ac:dyDescent="0.2">
      <c r="L200" s="44"/>
      <c r="M200" s="45"/>
      <c r="N200" s="44"/>
      <c r="O200" s="44"/>
      <c r="P200" s="44"/>
      <c r="Q200" s="44"/>
      <c r="R200" s="44"/>
      <c r="S200" s="44"/>
    </row>
    <row r="201" spans="12:19" x14ac:dyDescent="0.2">
      <c r="L201" s="26"/>
      <c r="M201" s="34"/>
      <c r="N201" s="26"/>
      <c r="O201" s="26"/>
      <c r="P201" s="26"/>
      <c r="Q201" s="26"/>
      <c r="R201" s="26"/>
      <c r="S201" s="26"/>
    </row>
    <row r="202" spans="12:19" x14ac:dyDescent="0.2">
      <c r="L202" s="26"/>
      <c r="M202" s="34"/>
      <c r="N202" s="26"/>
      <c r="O202" s="26"/>
      <c r="P202" s="26"/>
      <c r="Q202" s="26"/>
      <c r="R202" s="26"/>
      <c r="S202" s="26"/>
    </row>
    <row r="203" spans="12:19" x14ac:dyDescent="0.2">
      <c r="L203" s="26"/>
      <c r="M203" s="34"/>
      <c r="N203" s="26"/>
      <c r="O203" s="26"/>
      <c r="P203" s="26"/>
      <c r="Q203" s="26"/>
      <c r="R203" s="26"/>
      <c r="S203" s="26"/>
    </row>
    <row r="204" spans="12:19" x14ac:dyDescent="0.2">
      <c r="L204" s="26"/>
      <c r="M204" s="34"/>
      <c r="N204" s="26"/>
      <c r="O204" s="26"/>
      <c r="P204" s="26"/>
      <c r="Q204" s="26"/>
      <c r="R204" s="26"/>
      <c r="S204" s="26"/>
    </row>
    <row r="205" spans="12:19" x14ac:dyDescent="0.2">
      <c r="L205" s="26"/>
      <c r="M205" s="34"/>
      <c r="N205" s="26"/>
      <c r="O205" s="26"/>
      <c r="P205" s="26"/>
      <c r="Q205" s="26"/>
      <c r="R205" s="26"/>
      <c r="S205" s="26"/>
    </row>
    <row r="206" spans="12:19" x14ac:dyDescent="0.2">
      <c r="L206" s="36"/>
      <c r="M206" s="36"/>
      <c r="N206" s="36"/>
      <c r="O206" s="36"/>
      <c r="P206" s="36"/>
      <c r="Q206" s="36"/>
      <c r="R206" s="36"/>
      <c r="S206" s="36"/>
    </row>
    <row r="207" spans="12:19" x14ac:dyDescent="0.2">
      <c r="L207" s="26"/>
      <c r="M207" s="34"/>
      <c r="N207" s="26"/>
      <c r="O207" s="26"/>
      <c r="P207" s="26"/>
      <c r="Q207" s="26"/>
      <c r="R207" s="26"/>
      <c r="S207" s="26"/>
    </row>
    <row r="208" spans="12:19" x14ac:dyDescent="0.2">
      <c r="L208" s="26"/>
      <c r="M208" s="34"/>
      <c r="N208" s="26"/>
      <c r="O208" s="26"/>
      <c r="P208" s="26"/>
      <c r="Q208" s="26"/>
      <c r="R208" s="26"/>
      <c r="S208" s="26"/>
    </row>
    <row r="209" spans="12:19" x14ac:dyDescent="0.2">
      <c r="L209" s="26"/>
      <c r="M209" s="34"/>
      <c r="N209" s="26"/>
      <c r="O209" s="26"/>
      <c r="P209" s="26"/>
      <c r="Q209" s="26"/>
      <c r="R209" s="26"/>
      <c r="S209" s="26"/>
    </row>
    <row r="210" spans="12:19" x14ac:dyDescent="0.2">
      <c r="L210" s="26"/>
      <c r="M210" s="34"/>
      <c r="N210" s="26"/>
      <c r="O210" s="26"/>
      <c r="P210" s="26"/>
      <c r="Q210" s="26"/>
      <c r="R210" s="26"/>
      <c r="S210" s="26"/>
    </row>
    <row r="211" spans="12:19" x14ac:dyDescent="0.2">
      <c r="L211" s="26"/>
      <c r="M211" s="34"/>
      <c r="N211" s="26"/>
      <c r="O211" s="26"/>
      <c r="P211" s="26"/>
      <c r="Q211" s="26"/>
      <c r="R211" s="26"/>
      <c r="S211" s="26"/>
    </row>
    <row r="212" spans="12:19" x14ac:dyDescent="0.2">
      <c r="L212" s="36"/>
      <c r="M212" s="36"/>
      <c r="N212" s="36"/>
      <c r="O212" s="36"/>
      <c r="P212" s="36"/>
      <c r="Q212" s="36"/>
      <c r="R212" s="36"/>
      <c r="S212" s="36"/>
    </row>
    <row r="213" spans="12:19" x14ac:dyDescent="0.2">
      <c r="L213" s="46"/>
      <c r="M213" s="42"/>
      <c r="N213" s="46"/>
      <c r="O213" s="46"/>
      <c r="P213" s="46"/>
      <c r="Q213" s="46"/>
      <c r="R213" s="46"/>
      <c r="S213" s="46"/>
    </row>
    <row r="214" spans="12:19" x14ac:dyDescent="0.2">
      <c r="M214" s="34"/>
    </row>
    <row r="215" spans="12:19" x14ac:dyDescent="0.2">
      <c r="M215" s="34"/>
    </row>
    <row r="216" spans="12:19" x14ac:dyDescent="0.2">
      <c r="M216" s="34"/>
    </row>
    <row r="217" spans="12:19" x14ac:dyDescent="0.2">
      <c r="M217" s="34"/>
    </row>
    <row r="218" spans="12:19" x14ac:dyDescent="0.2">
      <c r="M218" s="34"/>
    </row>
    <row r="219" spans="12:19" x14ac:dyDescent="0.2">
      <c r="M219" s="34"/>
    </row>
    <row r="220" spans="12:19" x14ac:dyDescent="0.2">
      <c r="M220" s="34"/>
    </row>
    <row r="221" spans="12:19" x14ac:dyDescent="0.2">
      <c r="M221" s="34"/>
    </row>
    <row r="222" spans="12:19" x14ac:dyDescent="0.2">
      <c r="M222" s="34"/>
    </row>
    <row r="223" spans="12:19" x14ac:dyDescent="0.2">
      <c r="M223" s="34"/>
    </row>
    <row r="224" spans="12:19" x14ac:dyDescent="0.2">
      <c r="M224" s="34"/>
    </row>
    <row r="225" spans="13:13" x14ac:dyDescent="0.2">
      <c r="M225" s="34"/>
    </row>
    <row r="226" spans="13:13" x14ac:dyDescent="0.2">
      <c r="M226" s="34"/>
    </row>
    <row r="227" spans="13:13" x14ac:dyDescent="0.2">
      <c r="M227" s="34"/>
    </row>
  </sheetData>
  <mergeCells count="11">
    <mergeCell ref="S7:S8"/>
    <mergeCell ref="L114:N114"/>
    <mergeCell ref="B2:H2"/>
    <mergeCell ref="B3:H3"/>
    <mergeCell ref="B4:H4"/>
    <mergeCell ref="B5:H5"/>
    <mergeCell ref="B7:B8"/>
    <mergeCell ref="E7:E8"/>
    <mergeCell ref="F7:F8"/>
    <mergeCell ref="C7:C8"/>
    <mergeCell ref="D7:D8"/>
  </mergeCells>
  <printOptions horizontalCentered="1"/>
  <pageMargins left="0.25" right="0.25" top="0.75" bottom="0.75" header="0.3" footer="0.3"/>
  <pageSetup paperSize="5" scale="61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PERSONAL ESTRUCTURA Y EVENTUAL</vt:lpstr>
      <vt:lpstr>'PERSONAL ESTRUCTURA Y EVENTUAL'!Títulos_a_imprimir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Benjamín Campos Morales</cp:lastModifiedBy>
  <cp:lastPrinted>2022-07-26T02:37:24Z</cp:lastPrinted>
  <dcterms:created xsi:type="dcterms:W3CDTF">2016-08-04T15:31:33Z</dcterms:created>
  <dcterms:modified xsi:type="dcterms:W3CDTF">2024-03-20T03:41:33Z</dcterms:modified>
</cp:coreProperties>
</file>